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rne/AKB/STEVNER/2017/"/>
    </mc:Choice>
  </mc:AlternateContent>
  <bookViews>
    <workbookView xWindow="29100" yWindow="3000" windowWidth="25600" windowHeight="15520"/>
  </bookViews>
  <sheets>
    <sheet name="P1" sheetId="18" r:id="rId1"/>
    <sheet name="K1" sheetId="26" r:id="rId2"/>
    <sheet name="Meltzer-Malone" sheetId="35" state="hidden" r:id="rId3"/>
    <sheet name="Module1" sheetId="2" state="veryHidden" r:id="rId4"/>
  </sheets>
  <definedNames>
    <definedName name="_xlnm.Print_Area" localSheetId="1">'K1'!$A$1:$N$30</definedName>
    <definedName name="_xlnm.Print_Area" localSheetId="0">'P1'!$A$1:$Y$47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31" i="18" l="1"/>
  <c r="N31" i="18"/>
  <c r="P31" i="18"/>
  <c r="Q31" i="18"/>
  <c r="R31" i="18"/>
  <c r="Z29" i="18"/>
  <c r="N29" i="18"/>
  <c r="O29" i="18"/>
  <c r="P29" i="18"/>
  <c r="Q29" i="18"/>
  <c r="R29" i="18"/>
  <c r="N15" i="18"/>
  <c r="O15" i="18"/>
  <c r="P15" i="18"/>
  <c r="Q15" i="18"/>
  <c r="Z15" i="18"/>
  <c r="R15" i="18"/>
  <c r="N17" i="18"/>
  <c r="O17" i="18"/>
  <c r="P17" i="18"/>
  <c r="Q17" i="18"/>
  <c r="Z17" i="18"/>
  <c r="R17" i="18"/>
  <c r="N19" i="18"/>
  <c r="O19" i="18"/>
  <c r="P19" i="18"/>
  <c r="Q19" i="18"/>
  <c r="Z19" i="18"/>
  <c r="R19" i="18"/>
  <c r="N21" i="18"/>
  <c r="O21" i="18"/>
  <c r="P21" i="18"/>
  <c r="Q21" i="18"/>
  <c r="Z21" i="18"/>
  <c r="R21" i="18"/>
  <c r="N23" i="18"/>
  <c r="O23" i="18"/>
  <c r="P23" i="18"/>
  <c r="Q23" i="18"/>
  <c r="Z23" i="18"/>
  <c r="R23" i="18"/>
  <c r="Z25" i="18"/>
  <c r="N25" i="18"/>
  <c r="O25" i="18"/>
  <c r="P25" i="18"/>
  <c r="Q25" i="18"/>
  <c r="R25" i="18"/>
  <c r="Z27" i="18"/>
  <c r="N27" i="18"/>
  <c r="O27" i="18"/>
  <c r="P27" i="18"/>
  <c r="Q27" i="18"/>
  <c r="R27" i="18"/>
  <c r="N13" i="18"/>
  <c r="O13" i="18"/>
  <c r="P13" i="18"/>
  <c r="Q13" i="18"/>
  <c r="Z13" i="18"/>
  <c r="R13" i="18"/>
  <c r="N11" i="18"/>
  <c r="O11" i="18"/>
  <c r="P11" i="18"/>
  <c r="Q11" i="18"/>
  <c r="Z11" i="18"/>
  <c r="R11" i="18"/>
  <c r="N9" i="18"/>
  <c r="O9" i="18"/>
  <c r="P9" i="18"/>
  <c r="Q9" i="18"/>
  <c r="Z9" i="18"/>
  <c r="R9" i="18"/>
  <c r="P32" i="18"/>
  <c r="W32" i="18"/>
  <c r="P30" i="18"/>
  <c r="W30" i="18"/>
  <c r="P28" i="18"/>
  <c r="G25" i="26"/>
  <c r="S27" i="18"/>
  <c r="S28" i="18"/>
  <c r="K25" i="26"/>
  <c r="T27" i="18"/>
  <c r="T28" i="18"/>
  <c r="N25" i="26"/>
  <c r="U27" i="18"/>
  <c r="U28" i="18"/>
  <c r="W28" i="18"/>
  <c r="P26" i="18"/>
  <c r="G23" i="26"/>
  <c r="S25" i="18"/>
  <c r="S26" i="18"/>
  <c r="K23" i="26"/>
  <c r="T25" i="18"/>
  <c r="T26" i="18"/>
  <c r="N23" i="26"/>
  <c r="U25" i="18"/>
  <c r="U26" i="18"/>
  <c r="W26" i="18"/>
  <c r="P24" i="18"/>
  <c r="W24" i="18"/>
  <c r="P22" i="18"/>
  <c r="W22" i="18"/>
  <c r="P20" i="18"/>
  <c r="W20" i="18"/>
  <c r="P18" i="18"/>
  <c r="W18" i="18"/>
  <c r="P16" i="18"/>
  <c r="W16" i="18"/>
  <c r="P14" i="18"/>
  <c r="G11" i="26"/>
  <c r="S13" i="18"/>
  <c r="S14" i="18"/>
  <c r="K11" i="26"/>
  <c r="T13" i="18"/>
  <c r="T14" i="18"/>
  <c r="N11" i="26"/>
  <c r="U13" i="18"/>
  <c r="U14" i="18"/>
  <c r="W14" i="18"/>
  <c r="P12" i="18"/>
  <c r="G9" i="26"/>
  <c r="S11" i="18"/>
  <c r="S12" i="18"/>
  <c r="K9" i="26"/>
  <c r="T11" i="18"/>
  <c r="T12" i="18"/>
  <c r="N9" i="26"/>
  <c r="U11" i="18"/>
  <c r="U12" i="18"/>
  <c r="W12" i="18"/>
  <c r="T32" i="18"/>
  <c r="T30" i="18"/>
  <c r="T24" i="18"/>
  <c r="T22" i="18"/>
  <c r="T20" i="18"/>
  <c r="T18" i="18"/>
  <c r="T16" i="18"/>
  <c r="P10" i="18"/>
  <c r="G7" i="26"/>
  <c r="S9" i="18"/>
  <c r="S10" i="18"/>
  <c r="K7" i="26"/>
  <c r="T9" i="18"/>
  <c r="T10" i="18"/>
  <c r="N7" i="26"/>
  <c r="U9" i="18"/>
  <c r="U10" i="18"/>
  <c r="W10" i="18"/>
  <c r="O31" i="18"/>
  <c r="G29" i="26"/>
  <c r="S31" i="18"/>
  <c r="S32" i="18"/>
  <c r="K29" i="26"/>
  <c r="T31" i="18"/>
  <c r="N29" i="26"/>
  <c r="U31" i="18"/>
  <c r="U32" i="18"/>
  <c r="G27" i="26"/>
  <c r="S29" i="18"/>
  <c r="S30" i="18"/>
  <c r="K27" i="26"/>
  <c r="T29" i="18"/>
  <c r="N27" i="26"/>
  <c r="U29" i="18"/>
  <c r="U30" i="18"/>
  <c r="G21" i="26"/>
  <c r="S23" i="18"/>
  <c r="S24" i="18"/>
  <c r="K21" i="26"/>
  <c r="T23" i="18"/>
  <c r="N21" i="26"/>
  <c r="U23" i="18"/>
  <c r="U24" i="18"/>
  <c r="G19" i="26"/>
  <c r="S21" i="18"/>
  <c r="S22" i="18"/>
  <c r="K19" i="26"/>
  <c r="T21" i="18"/>
  <c r="N19" i="26"/>
  <c r="U21" i="18"/>
  <c r="U22" i="18"/>
  <c r="G15" i="26"/>
  <c r="S17" i="18"/>
  <c r="S18" i="18"/>
  <c r="K15" i="26"/>
  <c r="T17" i="18"/>
  <c r="N15" i="26"/>
  <c r="U17" i="18"/>
  <c r="U18" i="18"/>
  <c r="G13" i="26"/>
  <c r="S15" i="18"/>
  <c r="S16" i="18"/>
  <c r="K13" i="26"/>
  <c r="T15" i="18"/>
  <c r="N13" i="26"/>
  <c r="U15" i="18"/>
  <c r="U16" i="18"/>
  <c r="G17" i="26"/>
  <c r="S19" i="18"/>
  <c r="S20" i="18"/>
  <c r="K17" i="26"/>
  <c r="T19" i="18"/>
  <c r="N17" i="26"/>
  <c r="U19" i="18"/>
  <c r="U20" i="18"/>
  <c r="F3" i="26"/>
  <c r="W31" i="18"/>
  <c r="W29" i="18"/>
  <c r="K3" i="26"/>
  <c r="C3" i="26"/>
  <c r="C2" i="26"/>
  <c r="C30" i="26"/>
  <c r="C29" i="26"/>
  <c r="B29" i="26"/>
  <c r="C28" i="26"/>
  <c r="C27" i="26"/>
  <c r="B27" i="26"/>
  <c r="C26" i="26"/>
  <c r="C25" i="26"/>
  <c r="B25" i="26"/>
  <c r="C24" i="26"/>
  <c r="C23" i="26"/>
  <c r="B23" i="26"/>
  <c r="C22" i="26"/>
  <c r="C21" i="26"/>
  <c r="B21" i="26"/>
  <c r="C20" i="26"/>
  <c r="C19" i="26"/>
  <c r="B19" i="26"/>
  <c r="C18" i="26"/>
  <c r="C17" i="26"/>
  <c r="B17" i="26"/>
  <c r="C16" i="26"/>
  <c r="C15" i="26"/>
  <c r="B15" i="26"/>
  <c r="C14" i="26"/>
  <c r="C13" i="26"/>
  <c r="B13" i="26"/>
  <c r="C12" i="26"/>
  <c r="C11" i="26"/>
  <c r="B11" i="26"/>
  <c r="C10" i="26"/>
  <c r="C9" i="26"/>
  <c r="B9" i="26"/>
  <c r="C8" i="26"/>
  <c r="C7" i="26"/>
  <c r="B7" i="26"/>
  <c r="O30" i="26"/>
  <c r="O28" i="26"/>
  <c r="O26" i="26"/>
  <c r="O24" i="26"/>
  <c r="O22" i="26"/>
  <c r="O20" i="26"/>
  <c r="O18" i="26"/>
  <c r="O16" i="26"/>
  <c r="O14" i="26"/>
  <c r="O12" i="26"/>
  <c r="O10" i="26"/>
  <c r="O8" i="26"/>
  <c r="V26" i="18"/>
  <c r="V32" i="18"/>
  <c r="V28" i="18"/>
  <c r="V30" i="18"/>
  <c r="V20" i="18"/>
  <c r="V16" i="18"/>
  <c r="V14" i="18"/>
  <c r="V22" i="18"/>
  <c r="V18" i="18"/>
  <c r="V24" i="18"/>
  <c r="V12" i="18"/>
  <c r="V10" i="18"/>
</calcChain>
</file>

<file path=xl/comments1.xml><?xml version="1.0" encoding="utf-8"?>
<comments xmlns="http://schemas.openxmlformats.org/spreadsheetml/2006/main">
  <authors>
    <author>tull</author>
    <author>arne.h.pedersen</author>
  </authors>
  <commentList>
    <comment ref="H7" authorId="0">
      <text>
        <r>
          <rPr>
            <b/>
            <sz val="8"/>
            <color indexed="81"/>
            <rFont val="Tahoma"/>
            <family val="2"/>
          </rPr>
          <t>Bruk fnutt (') for planlagt løft (f.eks. '50). Fjern fnutt for godkjent løft(f.eks. 50), bruk minus (-) for underkjent løft (f.eks. -50).</t>
        </r>
      </text>
    </comment>
    <comment ref="K7" authorId="0">
      <text>
        <r>
          <rPr>
            <b/>
            <sz val="8"/>
            <color indexed="81"/>
            <rFont val="Tahoma"/>
            <family val="2"/>
          </rPr>
          <t>Bruk fnutt (') for planlagt løft (f.eks. '70). Fjern fnutt for godkjent løft (f.eks. 70). Bruk minus (-) for underkjent løft (f.eks. -70).</t>
        </r>
      </text>
    </comment>
    <comment ref="S7" authorId="0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>Angis i meter med to desimaler, f.eks.</t>
        </r>
        <r>
          <rPr>
            <b/>
            <sz val="8"/>
            <color indexed="81"/>
            <rFont val="Tahoma"/>
            <family val="2"/>
          </rPr>
          <t>9,75.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8" authorId="0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4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4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0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2" authorId="1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<sst xmlns="http://schemas.openxmlformats.org/spreadsheetml/2006/main" count="157" uniqueCount="103">
  <si>
    <t>Arrangør:</t>
  </si>
  <si>
    <t>Sted:</t>
  </si>
  <si>
    <t>Dato:</t>
  </si>
  <si>
    <t>Vekt-</t>
  </si>
  <si>
    <t>Kropps-</t>
  </si>
  <si>
    <t>Fødsels-</t>
  </si>
  <si>
    <t>Navn</t>
  </si>
  <si>
    <t>Rykk</t>
  </si>
  <si>
    <t>Støt</t>
  </si>
  <si>
    <t>Poeng</t>
  </si>
  <si>
    <t>klasse</t>
  </si>
  <si>
    <t>vekt</t>
  </si>
  <si>
    <t>Stevnets leder:</t>
  </si>
  <si>
    <t>Dommere:</t>
  </si>
  <si>
    <t>Sekretær:</t>
  </si>
  <si>
    <t xml:space="preserve"> </t>
  </si>
  <si>
    <t>Notater:</t>
  </si>
  <si>
    <t>Beskrivelse Rekorder:</t>
  </si>
  <si>
    <t>Pulje:</t>
  </si>
  <si>
    <t>Stevnekat:</t>
  </si>
  <si>
    <t>Norges Vektløfterforbund</t>
  </si>
  <si>
    <t>Kat.</t>
  </si>
  <si>
    <t>St</t>
  </si>
  <si>
    <t>Vektløfting  total</t>
  </si>
  <si>
    <t>Trehopp</t>
  </si>
  <si>
    <t>Kulekast</t>
  </si>
  <si>
    <t>40 m sprint</t>
  </si>
  <si>
    <t>5-kamp</t>
  </si>
  <si>
    <t>PL</t>
  </si>
  <si>
    <t>Rek</t>
  </si>
  <si>
    <t>v.løft</t>
  </si>
  <si>
    <t>år</t>
  </si>
  <si>
    <t>nr</t>
  </si>
  <si>
    <t>Klubb</t>
  </si>
  <si>
    <t>5-kamp poeng</t>
  </si>
  <si>
    <t>Sml</t>
  </si>
  <si>
    <t>total</t>
  </si>
  <si>
    <t>Stevnets art:</t>
  </si>
  <si>
    <t>40m sprint</t>
  </si>
  <si>
    <t>Beste</t>
  </si>
  <si>
    <t>Jury:</t>
  </si>
  <si>
    <t>Teknisk kontrollør:</t>
  </si>
  <si>
    <t>Chief Marshall:</t>
  </si>
  <si>
    <t>Tidtaker:</t>
  </si>
  <si>
    <t>Speaker: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</si>
  <si>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</si>
  <si>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>Veteran</t>
  </si>
  <si>
    <t>3-kamp</t>
  </si>
  <si>
    <t>sum</t>
  </si>
  <si>
    <t>Ny Sinclair tablell benyttes fra 1.1.2013</t>
  </si>
  <si>
    <t>Meltzer-Malone tabellen</t>
  </si>
  <si>
    <t>Alder</t>
  </si>
  <si>
    <r>
      <t xml:space="preserve">Kulestørrelser: Gutter: 11-12: </t>
    </r>
    <r>
      <rPr>
        <b/>
        <sz val="10"/>
        <rFont val="MS Sans Serif"/>
      </rPr>
      <t>2 kg</t>
    </r>
    <r>
      <rPr>
        <sz val="10"/>
        <rFont val="MS Sans Serif"/>
      </rPr>
      <t xml:space="preserve">, 13-14: </t>
    </r>
    <r>
      <rPr>
        <b/>
        <sz val="10"/>
        <rFont val="Arial"/>
        <family val="2"/>
      </rPr>
      <t>3 kg</t>
    </r>
    <r>
      <rPr>
        <sz val="10"/>
        <rFont val="MS Sans Serif"/>
      </rPr>
      <t xml:space="preserve">, 15-16: </t>
    </r>
    <r>
      <rPr>
        <b/>
        <sz val="10"/>
        <rFont val="Arial"/>
        <family val="2"/>
      </rPr>
      <t>4 kg</t>
    </r>
    <r>
      <rPr>
        <sz val="10"/>
        <rFont val="MS Sans Serif"/>
      </rPr>
      <t xml:space="preserve">, 17-18, +18: </t>
    </r>
    <r>
      <rPr>
        <b/>
        <sz val="10"/>
        <rFont val="Arial"/>
        <family val="2"/>
      </rPr>
      <t>5 kg</t>
    </r>
    <r>
      <rPr>
        <sz val="10"/>
        <rFont val="MS Sans Serif"/>
      </rPr>
      <t xml:space="preserve">.     Jenter:11-12, 13-14: </t>
    </r>
    <r>
      <rPr>
        <b/>
        <sz val="10"/>
        <rFont val="MS Sans Serif"/>
      </rPr>
      <t>2 kg,</t>
    </r>
    <r>
      <rPr>
        <sz val="10"/>
        <rFont val="MS Sans Serif"/>
      </rPr>
      <t xml:space="preserve">  Alle andre: </t>
    </r>
    <r>
      <rPr>
        <b/>
        <sz val="10"/>
        <rFont val="Arial"/>
        <family val="2"/>
      </rPr>
      <t>3 kg</t>
    </r>
    <r>
      <rPr>
        <sz val="10"/>
        <rFont val="MS Sans Serif"/>
      </rPr>
      <t>.</t>
    </r>
  </si>
  <si>
    <t>Seriestevne 5-kamp</t>
  </si>
  <si>
    <t>AK Bjørgvin</t>
  </si>
  <si>
    <t>Bergenshallen</t>
  </si>
  <si>
    <t>Arne H. Pedersen, AK Bjørgvin</t>
  </si>
  <si>
    <t>63</t>
  </si>
  <si>
    <t>UK</t>
  </si>
  <si>
    <t>15-16</t>
  </si>
  <si>
    <t>09.02.01</t>
  </si>
  <si>
    <t>Hedda Hauge Aasgård</t>
  </si>
  <si>
    <t>+75</t>
  </si>
  <si>
    <t>22.03.01</t>
  </si>
  <si>
    <t>Oda Marie Myklebust</t>
  </si>
  <si>
    <t>SK</t>
  </si>
  <si>
    <t>+18</t>
  </si>
  <si>
    <t>16.01.96</t>
  </si>
  <si>
    <t>Malin Alise Forberg</t>
  </si>
  <si>
    <t>69</t>
  </si>
  <si>
    <t>09.03.92</t>
  </si>
  <si>
    <t>Tonje Boge</t>
  </si>
  <si>
    <t>90</t>
  </si>
  <si>
    <t>Venke Bergum</t>
  </si>
  <si>
    <t>K1</t>
  </si>
  <si>
    <t>Ingborg Endresen</t>
  </si>
  <si>
    <t>UM</t>
  </si>
  <si>
    <t>13-14</t>
  </si>
  <si>
    <t>29.10.04</t>
  </si>
  <si>
    <t>Oscar Bergheim</t>
  </si>
  <si>
    <t>77</t>
  </si>
  <si>
    <t>24.03.01</t>
  </si>
  <si>
    <t>Håkon Eik Litland</t>
  </si>
  <si>
    <t>17-18</t>
  </si>
  <si>
    <t>18.10.00</t>
  </si>
  <si>
    <t>94</t>
  </si>
  <si>
    <t>M1</t>
  </si>
  <si>
    <t>20.02.82</t>
  </si>
  <si>
    <t>Øystein Sæten Hoff</t>
  </si>
  <si>
    <t>M5</t>
  </si>
  <si>
    <t>06.08.62</t>
  </si>
  <si>
    <t>Petter N. Sæterdal</t>
  </si>
  <si>
    <t>105</t>
  </si>
  <si>
    <t>Reidar C. Johnsen, AK Bjørgvin, Int I</t>
  </si>
  <si>
    <t>22.02.80</t>
  </si>
  <si>
    <t>Iren Mcinnes</t>
  </si>
  <si>
    <t>Terje Boge, AK Bjørgvin, K</t>
  </si>
  <si>
    <t>Phillip Houghton, AK Bjørgvin, F</t>
  </si>
  <si>
    <t>Sarah Hovden Øvsthus, AK Bjørgvin, F - Hans Sande, Tambarskjelvar IL, F</t>
  </si>
  <si>
    <t>xx</t>
  </si>
  <si>
    <t>Ineborg Endresen, K1, 90 kg, støt 68 kg, 70 kg, sml. 120 kg, 122 kg (Dommere fra en klubb under rykk, ikke rekorder).</t>
  </si>
  <si>
    <t>Hans Kristian Lorentzen</t>
  </si>
  <si>
    <t xml:space="preserve">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</si>
</sst>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dd/mm/yy;@"/>
    <numFmt numFmtId="167" formatCode="0.0;[Red]0.0"/>
    <numFmt numFmtId="168" formatCode="0;[Red]0"/>
  </numFmts>
  <fonts count="31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MS Sans Serif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sz val="18"/>
      <name val="Arial Black"/>
      <family val="2"/>
    </font>
    <font>
      <b/>
      <sz val="12"/>
      <color indexed="1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medium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Dashed">
        <color auto="1"/>
      </left>
      <right style="medium">
        <color auto="1"/>
      </right>
      <top style="dashed">
        <color auto="1"/>
      </top>
      <bottom/>
      <diagonal/>
    </border>
    <border>
      <left style="mediumDashed">
        <color auto="1"/>
      </left>
      <right style="medium">
        <color auto="1"/>
      </right>
      <top/>
      <bottom style="dashed">
        <color auto="1"/>
      </bottom>
      <diagonal/>
    </border>
    <border>
      <left style="mediumDashed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234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3" fillId="0" borderId="0" xfId="0" applyFont="1" applyProtection="1"/>
    <xf numFmtId="164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4" fillId="0" borderId="0" xfId="1" applyFont="1" applyAlignment="1" applyProtection="1">
      <alignment horizontal="right"/>
    </xf>
    <xf numFmtId="14" fontId="14" fillId="0" borderId="0" xfId="1" applyNumberFormat="1" applyFont="1" applyAlignment="1" applyProtection="1">
      <alignment horizontal="right"/>
    </xf>
    <xf numFmtId="0" fontId="16" fillId="0" borderId="0" xfId="1" applyFont="1" applyAlignment="1" applyProtection="1">
      <alignment horizontal="center"/>
      <protection locked="0"/>
    </xf>
    <xf numFmtId="0" fontId="2" fillId="0" borderId="0" xfId="1" applyAlignment="1">
      <alignment horizontal="center"/>
    </xf>
    <xf numFmtId="0" fontId="2" fillId="0" borderId="0" xfId="1"/>
    <xf numFmtId="0" fontId="2" fillId="0" borderId="0" xfId="1" applyFont="1" applyAlignment="1">
      <alignment horizontal="center"/>
    </xf>
    <xf numFmtId="2" fontId="12" fillId="0" borderId="0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14" fontId="12" fillId="0" borderId="0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  <protection locked="0"/>
    </xf>
    <xf numFmtId="2" fontId="17" fillId="0" borderId="0" xfId="1" applyNumberFormat="1" applyFont="1" applyBorder="1" applyAlignment="1" applyProtection="1">
      <alignment horizontal="center" vertic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 applyProtection="1">
      <alignment horizontal="center" vertical="top" wrapText="1"/>
    </xf>
    <xf numFmtId="1" fontId="18" fillId="0" borderId="0" xfId="1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/>
    <xf numFmtId="1" fontId="15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1" fillId="0" borderId="21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left" vertical="center"/>
      <protection locked="0"/>
    </xf>
    <xf numFmtId="0" fontId="0" fillId="0" borderId="23" xfId="0" applyBorder="1" applyProtection="1"/>
    <xf numFmtId="0" fontId="0" fillId="0" borderId="19" xfId="0" applyBorder="1" applyProtection="1"/>
    <xf numFmtId="0" fontId="0" fillId="0" borderId="19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10" fillId="0" borderId="8" xfId="0" applyNumberFormat="1" applyFont="1" applyBorder="1" applyAlignment="1">
      <alignment horizontal="center"/>
    </xf>
    <xf numFmtId="2" fontId="23" fillId="0" borderId="26" xfId="1" applyNumberFormat="1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center"/>
    </xf>
    <xf numFmtId="49" fontId="15" fillId="0" borderId="27" xfId="0" applyNumberFormat="1" applyFont="1" applyBorder="1" applyAlignment="1">
      <alignment horizont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2" fontId="23" fillId="0" borderId="29" xfId="0" applyNumberFormat="1" applyFont="1" applyBorder="1" applyAlignment="1" applyProtection="1">
      <alignment vertical="center"/>
    </xf>
    <xf numFmtId="2" fontId="15" fillId="0" borderId="0" xfId="0" applyNumberFormat="1" applyFont="1" applyBorder="1" applyAlignment="1" applyProtection="1">
      <alignment vertical="center" wrapText="1"/>
    </xf>
    <xf numFmtId="2" fontId="10" fillId="0" borderId="4" xfId="0" applyNumberFormat="1" applyFont="1" applyBorder="1" applyAlignment="1">
      <alignment horizontal="center"/>
    </xf>
    <xf numFmtId="2" fontId="23" fillId="0" borderId="30" xfId="1" applyNumberFormat="1" applyFont="1" applyBorder="1" applyAlignment="1" applyProtection="1">
      <alignment vertical="center"/>
    </xf>
    <xf numFmtId="2" fontId="23" fillId="0" borderId="31" xfId="1" applyNumberFormat="1" applyFont="1" applyBorder="1" applyAlignment="1" applyProtection="1">
      <alignment vertical="center"/>
    </xf>
    <xf numFmtId="0" fontId="24" fillId="0" borderId="32" xfId="0" applyFont="1" applyBorder="1" applyAlignment="1" applyProtection="1">
      <alignment vertical="center"/>
      <protection locked="0"/>
    </xf>
    <xf numFmtId="0" fontId="24" fillId="0" borderId="33" xfId="0" applyFont="1" applyBorder="1" applyAlignment="1" applyProtection="1">
      <alignment vertical="center"/>
      <protection locked="0"/>
    </xf>
    <xf numFmtId="0" fontId="23" fillId="0" borderId="28" xfId="0" applyFont="1" applyBorder="1" applyAlignment="1" applyProtection="1">
      <alignment vertical="center"/>
      <protection locked="0"/>
    </xf>
    <xf numFmtId="0" fontId="24" fillId="0" borderId="34" xfId="0" applyFont="1" applyBorder="1" applyAlignment="1" applyProtection="1">
      <alignment vertical="center"/>
      <protection locked="0"/>
    </xf>
    <xf numFmtId="0" fontId="23" fillId="0" borderId="29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2" fontId="23" fillId="0" borderId="28" xfId="0" applyNumberFormat="1" applyFont="1" applyBorder="1" applyAlignment="1" applyProtection="1">
      <alignment vertical="center"/>
    </xf>
    <xf numFmtId="0" fontId="0" fillId="0" borderId="1" xfId="0" applyBorder="1"/>
    <xf numFmtId="2" fontId="24" fillId="0" borderId="35" xfId="1" quotePrefix="1" applyNumberFormat="1" applyFont="1" applyBorder="1" applyAlignment="1" applyProtection="1">
      <alignment vertical="center"/>
      <protection locked="0"/>
    </xf>
    <xf numFmtId="2" fontId="24" fillId="0" borderId="35" xfId="1" applyNumberFormat="1" applyFont="1" applyBorder="1" applyAlignment="1" applyProtection="1">
      <alignment vertical="center"/>
      <protection locked="0"/>
    </xf>
    <xf numFmtId="2" fontId="24" fillId="0" borderId="36" xfId="1" quotePrefix="1" applyNumberFormat="1" applyFont="1" applyBorder="1" applyAlignment="1" applyProtection="1">
      <alignment vertical="center"/>
      <protection locked="0"/>
    </xf>
    <xf numFmtId="2" fontId="24" fillId="0" borderId="36" xfId="1" applyNumberFormat="1" applyFont="1" applyBorder="1" applyAlignment="1" applyProtection="1">
      <alignment vertical="center"/>
      <protection locked="0"/>
    </xf>
    <xf numFmtId="2" fontId="24" fillId="0" borderId="37" xfId="1" quotePrefix="1" applyNumberFormat="1" applyFont="1" applyBorder="1" applyAlignment="1" applyProtection="1">
      <alignment vertical="center"/>
      <protection locked="0"/>
    </xf>
    <xf numFmtId="2" fontId="24" fillId="0" borderId="38" xfId="1" quotePrefix="1" applyNumberFormat="1" applyFont="1" applyBorder="1" applyAlignment="1" applyProtection="1">
      <alignment vertical="center"/>
      <protection locked="0"/>
    </xf>
    <xf numFmtId="2" fontId="24" fillId="0" borderId="39" xfId="1" applyNumberFormat="1" applyFont="1" applyBorder="1" applyAlignment="1" applyProtection="1">
      <alignment vertical="center"/>
      <protection locked="0"/>
    </xf>
    <xf numFmtId="2" fontId="24" fillId="0" borderId="40" xfId="1" applyNumberFormat="1" applyFont="1" applyBorder="1" applyAlignment="1" applyProtection="1">
      <alignment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2" fontId="24" fillId="0" borderId="42" xfId="1" applyNumberFormat="1" applyFont="1" applyBorder="1" applyAlignment="1" applyProtection="1">
      <alignment vertical="center"/>
      <protection locked="0"/>
    </xf>
    <xf numFmtId="2" fontId="10" fillId="0" borderId="8" xfId="0" applyNumberFormat="1" applyFont="1" applyBorder="1" applyAlignment="1">
      <alignment horizontal="left"/>
    </xf>
    <xf numFmtId="2" fontId="10" fillId="0" borderId="32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 horizontal="left"/>
    </xf>
    <xf numFmtId="166" fontId="23" fillId="0" borderId="0" xfId="0" applyNumberFormat="1" applyFont="1" applyAlignment="1" applyProtection="1">
      <alignment vertical="center"/>
    </xf>
    <xf numFmtId="1" fontId="23" fillId="0" borderId="0" xfId="0" applyNumberFormat="1" applyFont="1" applyAlignment="1" applyProtection="1">
      <alignment horizontal="center" vertical="center"/>
    </xf>
    <xf numFmtId="1" fontId="12" fillId="0" borderId="0" xfId="0" applyNumberFormat="1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1" fontId="5" fillId="0" borderId="0" xfId="0" applyNumberFormat="1" applyFont="1" applyAlignment="1" applyProtection="1">
      <alignment horizontal="left"/>
    </xf>
    <xf numFmtId="167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/>
    <xf numFmtId="167" fontId="3" fillId="0" borderId="0" xfId="0" applyNumberFormat="1" applyFont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164" fontId="13" fillId="0" borderId="0" xfId="0" applyNumberFormat="1" applyFont="1" applyAlignment="1" applyProtection="1">
      <alignment horizontal="left"/>
    </xf>
    <xf numFmtId="2" fontId="16" fillId="0" borderId="43" xfId="1" applyNumberFormat="1" applyFont="1" applyBorder="1" applyAlignment="1" applyProtection="1">
      <alignment horizontal="center" vertical="center"/>
      <protection locked="0"/>
    </xf>
    <xf numFmtId="168" fontId="16" fillId="0" borderId="44" xfId="1" quotePrefix="1" applyNumberFormat="1" applyFont="1" applyBorder="1" applyAlignment="1" applyProtection="1">
      <alignment horizontal="center" vertical="center"/>
      <protection locked="0"/>
    </xf>
    <xf numFmtId="2" fontId="16" fillId="0" borderId="45" xfId="0" applyNumberFormat="1" applyFont="1" applyBorder="1" applyAlignment="1" applyProtection="1">
      <alignment horizontal="center" vertical="center" wrapText="1"/>
    </xf>
    <xf numFmtId="2" fontId="28" fillId="0" borderId="44" xfId="1" applyNumberFormat="1" applyFont="1" applyBorder="1" applyAlignment="1" applyProtection="1">
      <alignment horizontal="center" vertical="center"/>
      <protection locked="0"/>
    </xf>
    <xf numFmtId="2" fontId="16" fillId="0" borderId="44" xfId="0" applyNumberFormat="1" applyFont="1" applyBorder="1" applyAlignment="1" applyProtection="1">
      <alignment horizontal="center" vertical="center" wrapText="1"/>
    </xf>
    <xf numFmtId="2" fontId="16" fillId="0" borderId="46" xfId="1" applyNumberFormat="1" applyFont="1" applyBorder="1" applyAlignment="1" applyProtection="1">
      <alignment horizontal="center" vertical="center"/>
    </xf>
    <xf numFmtId="2" fontId="16" fillId="0" borderId="5" xfId="1" applyNumberFormat="1" applyFont="1" applyBorder="1" applyAlignment="1" applyProtection="1">
      <alignment horizontal="center" vertical="center"/>
    </xf>
    <xf numFmtId="2" fontId="16" fillId="0" borderId="3" xfId="1" applyNumberFormat="1" applyFont="1" applyBorder="1" applyAlignment="1" applyProtection="1">
      <alignment horizontal="center" vertical="center"/>
    </xf>
    <xf numFmtId="0" fontId="16" fillId="0" borderId="3" xfId="1" applyFont="1" applyBorder="1" applyAlignment="1" applyProtection="1">
      <alignment horizontal="center" vertical="center"/>
    </xf>
    <xf numFmtId="14" fontId="16" fillId="0" borderId="3" xfId="1" applyNumberFormat="1" applyFont="1" applyBorder="1" applyAlignment="1" applyProtection="1">
      <alignment horizontal="center" vertical="center"/>
    </xf>
    <xf numFmtId="0" fontId="16" fillId="0" borderId="32" xfId="1" applyFont="1" applyBorder="1" applyAlignment="1" applyProtection="1">
      <alignment horizontal="left" vertical="center"/>
      <protection locked="0"/>
    </xf>
    <xf numFmtId="2" fontId="16" fillId="0" borderId="6" xfId="1" applyNumberFormat="1" applyFont="1" applyBorder="1" applyAlignment="1" applyProtection="1">
      <alignment horizontal="center" vertical="center"/>
    </xf>
    <xf numFmtId="2" fontId="16" fillId="0" borderId="27" xfId="1" applyNumberFormat="1" applyFont="1" applyBorder="1" applyAlignment="1" applyProtection="1">
      <alignment horizontal="center" vertical="center"/>
    </xf>
    <xf numFmtId="2" fontId="16" fillId="0" borderId="27" xfId="0" applyNumberFormat="1" applyFont="1" applyBorder="1" applyAlignment="1">
      <alignment horizontal="center" vertical="center"/>
    </xf>
    <xf numFmtId="2" fontId="28" fillId="0" borderId="47" xfId="1" applyNumberFormat="1" applyFont="1" applyBorder="1" applyAlignment="1" applyProtection="1">
      <alignment horizontal="center" vertical="center"/>
      <protection locked="0"/>
    </xf>
    <xf numFmtId="1" fontId="16" fillId="0" borderId="22" xfId="1" applyNumberFormat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  <protection locked="0"/>
    </xf>
    <xf numFmtId="2" fontId="16" fillId="0" borderId="17" xfId="1" applyNumberFormat="1" applyFont="1" applyBorder="1" applyAlignment="1" applyProtection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49" xfId="1" applyNumberFormat="1" applyFont="1" applyBorder="1" applyAlignment="1" applyProtection="1">
      <alignment horizontal="center" vertical="center"/>
      <protection locked="0"/>
    </xf>
    <xf numFmtId="49" fontId="16" fillId="0" borderId="4" xfId="1" applyNumberFormat="1" applyFont="1" applyBorder="1" applyAlignment="1" applyProtection="1">
      <alignment horizontal="center" vertical="center"/>
      <protection locked="0"/>
    </xf>
    <xf numFmtId="49" fontId="16" fillId="0" borderId="2" xfId="1" applyNumberFormat="1" applyFont="1" applyBorder="1" applyAlignment="1" applyProtection="1">
      <alignment horizontal="center" vertical="center"/>
      <protection locked="0"/>
    </xf>
    <xf numFmtId="166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vertical="center"/>
      <protection locked="0"/>
    </xf>
    <xf numFmtId="1" fontId="16" fillId="0" borderId="50" xfId="1" applyNumberFormat="1" applyFont="1" applyBorder="1" applyAlignment="1" applyProtection="1">
      <alignment horizontal="center" vertical="center"/>
      <protection locked="0"/>
    </xf>
    <xf numFmtId="1" fontId="16" fillId="0" borderId="50" xfId="1" quotePrefix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" fontId="16" fillId="0" borderId="10" xfId="1" applyNumberFormat="1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  <protection locked="0"/>
    </xf>
    <xf numFmtId="49" fontId="16" fillId="0" borderId="4" xfId="1" quotePrefix="1" applyNumberFormat="1" applyFont="1" applyBorder="1" applyAlignment="1" applyProtection="1">
      <alignment horizontal="center" vertical="center"/>
      <protection locked="0"/>
    </xf>
    <xf numFmtId="1" fontId="16" fillId="0" borderId="45" xfId="1" applyNumberFormat="1" applyFont="1" applyBorder="1" applyAlignment="1" applyProtection="1">
      <alignment horizontal="center" vertical="center"/>
    </xf>
    <xf numFmtId="1" fontId="16" fillId="0" borderId="38" xfId="1" applyNumberFormat="1" applyFont="1" applyBorder="1" applyAlignment="1" applyProtection="1">
      <alignment horizontal="center" vertical="center"/>
    </xf>
    <xf numFmtId="1" fontId="16" fillId="0" borderId="36" xfId="0" applyNumberFormat="1" applyFont="1" applyBorder="1" applyAlignment="1" applyProtection="1">
      <alignment horizontal="center" vertical="center"/>
    </xf>
    <xf numFmtId="0" fontId="16" fillId="0" borderId="2" xfId="1" applyFont="1" applyBorder="1" applyAlignment="1" applyProtection="1">
      <alignment horizontal="left" vertical="center"/>
      <protection locked="0"/>
    </xf>
    <xf numFmtId="1" fontId="16" fillId="0" borderId="4" xfId="1" applyNumberFormat="1" applyFont="1" applyBorder="1" applyAlignment="1" applyProtection="1">
      <alignment horizontal="center" vertical="center"/>
      <protection locked="0"/>
    </xf>
    <xf numFmtId="1" fontId="16" fillId="0" borderId="4" xfId="1" quotePrefix="1" applyNumberFormat="1" applyFont="1" applyBorder="1" applyAlignment="1" applyProtection="1">
      <alignment horizontal="center" vertical="center"/>
      <protection locked="0"/>
    </xf>
    <xf numFmtId="14" fontId="16" fillId="0" borderId="5" xfId="1" applyNumberFormat="1" applyFont="1" applyBorder="1" applyAlignment="1" applyProtection="1">
      <alignment horizontal="center" vertical="center"/>
    </xf>
    <xf numFmtId="0" fontId="16" fillId="0" borderId="51" xfId="1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16" fillId="0" borderId="41" xfId="1" applyNumberFormat="1" applyFont="1" applyBorder="1" applyAlignment="1" applyProtection="1">
      <alignment horizontal="center" vertical="center"/>
    </xf>
    <xf numFmtId="2" fontId="16" fillId="0" borderId="36" xfId="0" applyNumberFormat="1" applyFont="1" applyBorder="1" applyAlignment="1" applyProtection="1">
      <alignment horizontal="center" vertical="center" wrapText="1"/>
    </xf>
    <xf numFmtId="2" fontId="16" fillId="0" borderId="47" xfId="0" applyNumberFormat="1" applyFont="1" applyBorder="1" applyAlignment="1" applyProtection="1">
      <alignment horizontal="center" vertical="center" wrapText="1"/>
    </xf>
    <xf numFmtId="166" fontId="0" fillId="0" borderId="0" xfId="0" applyNumberFormat="1"/>
    <xf numFmtId="2" fontId="28" fillId="0" borderId="8" xfId="1" applyNumberFormat="1" applyFont="1" applyBorder="1" applyAlignment="1" applyProtection="1">
      <alignment horizontal="center" vertical="center"/>
      <protection locked="0"/>
    </xf>
    <xf numFmtId="2" fontId="16" fillId="0" borderId="8" xfId="0" applyNumberFormat="1" applyFont="1" applyBorder="1" applyAlignment="1" applyProtection="1">
      <alignment horizontal="center" vertical="center" wrapText="1"/>
    </xf>
    <xf numFmtId="2" fontId="16" fillId="0" borderId="32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 applyProtection="1">
      <alignment horizontal="center" vertical="center" wrapText="1"/>
    </xf>
    <xf numFmtId="1" fontId="16" fillId="0" borderId="33" xfId="1" applyNumberFormat="1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>
      <alignment horizontal="center" vertical="center"/>
    </xf>
    <xf numFmtId="0" fontId="29" fillId="0" borderId="7" xfId="1" applyFont="1" applyBorder="1" applyAlignment="1" applyProtection="1">
      <alignment horizontal="center"/>
    </xf>
    <xf numFmtId="0" fontId="29" fillId="0" borderId="8" xfId="1" applyFont="1" applyBorder="1" applyAlignment="1" applyProtection="1">
      <alignment horizontal="center"/>
    </xf>
    <xf numFmtId="0" fontId="29" fillId="0" borderId="9" xfId="1" applyFont="1" applyBorder="1" applyAlignment="1" applyProtection="1">
      <alignment horizontal="center"/>
    </xf>
    <xf numFmtId="164" fontId="29" fillId="0" borderId="10" xfId="1" applyNumberFormat="1" applyFont="1" applyBorder="1" applyAlignment="1" applyProtection="1">
      <alignment horizontal="center"/>
    </xf>
    <xf numFmtId="0" fontId="29" fillId="0" borderId="10" xfId="1" applyFont="1" applyBorder="1" applyAlignment="1" applyProtection="1">
      <alignment horizontal="center"/>
    </xf>
    <xf numFmtId="0" fontId="29" fillId="0" borderId="53" xfId="1" applyFont="1" applyBorder="1" applyAlignment="1" applyProtection="1">
      <alignment horizontal="center"/>
    </xf>
    <xf numFmtId="2" fontId="29" fillId="0" borderId="10" xfId="1" applyNumberFormat="1" applyFont="1" applyBorder="1" applyAlignment="1" applyProtection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1" applyFont="1" applyBorder="1" applyAlignment="1" applyProtection="1">
      <alignment horizontal="center"/>
    </xf>
    <xf numFmtId="0" fontId="29" fillId="0" borderId="13" xfId="1" applyFont="1" applyBorder="1" applyAlignment="1" applyProtection="1">
      <alignment horizontal="center"/>
    </xf>
    <xf numFmtId="0" fontId="29" fillId="0" borderId="14" xfId="1" applyFont="1" applyBorder="1" applyAlignment="1" applyProtection="1">
      <alignment horizontal="center"/>
    </xf>
    <xf numFmtId="164" fontId="29" fillId="0" borderId="15" xfId="1" applyNumberFormat="1" applyFont="1" applyBorder="1" applyAlignment="1" applyProtection="1">
      <alignment horizontal="center"/>
    </xf>
    <xf numFmtId="0" fontId="29" fillId="0" borderId="15" xfId="1" applyFont="1" applyBorder="1" applyAlignment="1" applyProtection="1">
      <alignment horizontal="center"/>
    </xf>
    <xf numFmtId="0" fontId="29" fillId="0" borderId="16" xfId="1" applyFont="1" applyBorder="1" applyAlignment="1" applyProtection="1">
      <alignment horizontal="center"/>
    </xf>
    <xf numFmtId="0" fontId="29" fillId="0" borderId="17" xfId="1" applyFont="1" applyBorder="1" applyAlignment="1" applyProtection="1">
      <alignment horizontal="center"/>
    </xf>
    <xf numFmtId="0" fontId="29" fillId="0" borderId="18" xfId="1" applyFont="1" applyBorder="1" applyAlignment="1" applyProtection="1">
      <alignment horizontal="center"/>
    </xf>
    <xf numFmtId="0" fontId="29" fillId="0" borderId="19" xfId="1" applyFont="1" applyBorder="1" applyAlignment="1" applyProtection="1">
      <alignment horizontal="center"/>
    </xf>
    <xf numFmtId="2" fontId="29" fillId="0" borderId="15" xfId="1" applyNumberFormat="1" applyFont="1" applyBorder="1" applyAlignment="1" applyProtection="1">
      <alignment horizontal="center"/>
    </xf>
    <xf numFmtId="0" fontId="30" fillId="0" borderId="20" xfId="0" applyFont="1" applyBorder="1" applyAlignment="1">
      <alignment horizontal="center"/>
    </xf>
    <xf numFmtId="2" fontId="16" fillId="0" borderId="17" xfId="0" applyNumberFormat="1" applyFont="1" applyBorder="1" applyAlignment="1" applyProtection="1">
      <alignment horizontal="center" vertical="center" wrapText="1"/>
    </xf>
    <xf numFmtId="1" fontId="16" fillId="0" borderId="55" xfId="1" applyNumberFormat="1" applyFont="1" applyBorder="1" applyAlignment="1" applyProtection="1">
      <alignment horizontal="center" vertical="center"/>
      <protection locked="0"/>
    </xf>
    <xf numFmtId="0" fontId="16" fillId="0" borderId="56" xfId="0" applyFont="1" applyBorder="1" applyAlignment="1">
      <alignment horizontal="center" vertical="center"/>
    </xf>
    <xf numFmtId="2" fontId="16" fillId="0" borderId="2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/>
    </xf>
    <xf numFmtId="49" fontId="16" fillId="0" borderId="2" xfId="1" quotePrefix="1" applyNumberFormat="1" applyFont="1" applyBorder="1" applyAlignment="1" applyProtection="1">
      <alignment horizontal="center" vertical="center"/>
      <protection locked="0"/>
    </xf>
    <xf numFmtId="2" fontId="16" fillId="0" borderId="55" xfId="1" applyNumberFormat="1" applyFont="1" applyBorder="1" applyAlignment="1" applyProtection="1">
      <alignment horizontal="center" vertical="center"/>
    </xf>
    <xf numFmtId="2" fontId="16" fillId="0" borderId="61" xfId="1" applyNumberFormat="1" applyFont="1" applyBorder="1" applyAlignment="1" applyProtection="1">
      <alignment horizontal="center" vertical="center"/>
    </xf>
    <xf numFmtId="2" fontId="16" fillId="0" borderId="52" xfId="1" applyNumberFormat="1" applyFont="1" applyBorder="1" applyAlignment="1" applyProtection="1">
      <alignment horizontal="center" vertical="center"/>
    </xf>
    <xf numFmtId="49" fontId="16" fillId="0" borderId="44" xfId="1" applyNumberFormat="1" applyFont="1" applyBorder="1" applyAlignment="1" applyProtection="1">
      <alignment horizontal="center" vertical="center"/>
      <protection locked="0"/>
    </xf>
    <xf numFmtId="0" fontId="16" fillId="0" borderId="64" xfId="0" applyFont="1" applyBorder="1" applyAlignment="1" applyProtection="1">
      <alignment vertical="center"/>
      <protection locked="0"/>
    </xf>
    <xf numFmtId="14" fontId="16" fillId="0" borderId="22" xfId="1" applyNumberFormat="1" applyFont="1" applyBorder="1" applyAlignment="1" applyProtection="1">
      <alignment horizontal="center" vertical="center"/>
    </xf>
    <xf numFmtId="49" fontId="16" fillId="0" borderId="44" xfId="1" quotePrefix="1" applyNumberFormat="1" applyFont="1" applyBorder="1" applyAlignment="1" applyProtection="1">
      <alignment horizontal="center" vertical="center"/>
      <protection locked="0"/>
    </xf>
    <xf numFmtId="2" fontId="16" fillId="0" borderId="22" xfId="1" applyNumberFormat="1" applyFont="1" applyBorder="1" applyAlignment="1" applyProtection="1">
      <alignment horizontal="center" vertical="center"/>
    </xf>
    <xf numFmtId="0" fontId="16" fillId="0" borderId="22" xfId="1" applyFont="1" applyBorder="1" applyAlignment="1" applyProtection="1">
      <alignment horizontal="center" vertical="center"/>
    </xf>
    <xf numFmtId="0" fontId="16" fillId="0" borderId="27" xfId="1" applyFont="1" applyBorder="1" applyAlignment="1" applyProtection="1">
      <alignment horizontal="left" vertical="center"/>
      <protection locked="0"/>
    </xf>
    <xf numFmtId="166" fontId="16" fillId="0" borderId="0" xfId="1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4" fontId="12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left"/>
    </xf>
    <xf numFmtId="2" fontId="16" fillId="0" borderId="55" xfId="1" applyNumberFormat="1" applyFont="1" applyBorder="1" applyAlignment="1" applyProtection="1">
      <alignment horizontal="center" vertical="center"/>
    </xf>
    <xf numFmtId="2" fontId="16" fillId="0" borderId="61" xfId="1" applyNumberFormat="1" applyFont="1" applyBorder="1" applyAlignment="1" applyProtection="1">
      <alignment horizontal="center" vertical="center"/>
    </xf>
    <xf numFmtId="2" fontId="16" fillId="0" borderId="52" xfId="1" applyNumberFormat="1" applyFont="1" applyBorder="1" applyAlignment="1" applyProtection="1">
      <alignment horizontal="center" vertical="center"/>
    </xf>
    <xf numFmtId="2" fontId="16" fillId="0" borderId="33" xfId="1" applyNumberFormat="1" applyFont="1" applyBorder="1" applyAlignment="1" applyProtection="1">
      <alignment horizontal="center" vertical="center"/>
    </xf>
    <xf numFmtId="2" fontId="16" fillId="0" borderId="57" xfId="1" applyNumberFormat="1" applyFont="1" applyBorder="1" applyAlignment="1" applyProtection="1">
      <alignment horizontal="center" vertical="center"/>
    </xf>
    <xf numFmtId="2" fontId="16" fillId="0" borderId="34" xfId="1" applyNumberFormat="1" applyFont="1" applyBorder="1" applyAlignment="1" applyProtection="1">
      <alignment horizontal="center" vertical="center"/>
    </xf>
    <xf numFmtId="2" fontId="16" fillId="0" borderId="57" xfId="1" applyNumberFormat="1" applyFont="1" applyBorder="1" applyAlignment="1" applyProtection="1">
      <alignment horizontal="center" vertical="center" wrapText="1"/>
    </xf>
    <xf numFmtId="2" fontId="16" fillId="0" borderId="61" xfId="1" applyNumberFormat="1" applyFont="1" applyBorder="1" applyAlignment="1" applyProtection="1">
      <alignment horizontal="center" vertical="center" wrapText="1"/>
    </xf>
    <xf numFmtId="2" fontId="16" fillId="0" borderId="58" xfId="1" applyNumberFormat="1" applyFont="1" applyBorder="1" applyAlignment="1" applyProtection="1">
      <alignment horizontal="center" vertical="center" wrapText="1"/>
    </xf>
    <xf numFmtId="2" fontId="16" fillId="0" borderId="59" xfId="1" applyNumberFormat="1" applyFont="1" applyBorder="1" applyAlignment="1" applyProtection="1">
      <alignment horizontal="center" vertical="center"/>
    </xf>
    <xf numFmtId="2" fontId="16" fillId="0" borderId="60" xfId="1" applyNumberFormat="1" applyFont="1" applyBorder="1" applyAlignment="1" applyProtection="1">
      <alignment horizontal="center" vertical="center"/>
    </xf>
    <xf numFmtId="2" fontId="16" fillId="0" borderId="58" xfId="1" applyNumberFormat="1" applyFont="1" applyBorder="1" applyAlignment="1" applyProtection="1">
      <alignment horizontal="center" vertical="center"/>
    </xf>
    <xf numFmtId="0" fontId="14" fillId="0" borderId="0" xfId="1" applyFont="1" applyAlignment="1" applyProtection="1">
      <alignment horizontal="right"/>
    </xf>
    <xf numFmtId="0" fontId="16" fillId="0" borderId="0" xfId="1" applyFont="1" applyAlignment="1" applyProtection="1">
      <alignment horizontal="left"/>
      <protection locked="0"/>
    </xf>
    <xf numFmtId="0" fontId="15" fillId="0" borderId="0" xfId="1" applyFont="1" applyAlignment="1" applyProtection="1">
      <alignment horizontal="left"/>
      <protection locked="0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10" xfId="1" applyFont="1" applyBorder="1" applyAlignment="1" applyProtection="1">
      <alignment horizontal="center"/>
    </xf>
    <xf numFmtId="0" fontId="29" fillId="0" borderId="9" xfId="1" applyFont="1" applyBorder="1" applyAlignment="1" applyProtection="1">
      <alignment horizontal="center"/>
    </xf>
    <xf numFmtId="0" fontId="29" fillId="0" borderId="63" xfId="1" applyFont="1" applyBorder="1" applyAlignment="1" applyProtection="1">
      <alignment horizontal="center"/>
    </xf>
    <xf numFmtId="0" fontId="29" fillId="0" borderId="35" xfId="1" applyFont="1" applyBorder="1" applyAlignment="1" applyProtection="1">
      <alignment horizontal="center"/>
    </xf>
    <xf numFmtId="0" fontId="29" fillId="0" borderId="37" xfId="1" applyFont="1" applyBorder="1" applyAlignment="1" applyProtection="1">
      <alignment horizontal="center"/>
    </xf>
    <xf numFmtId="0" fontId="29" fillId="0" borderId="16" xfId="1" applyFont="1" applyBorder="1" applyAlignment="1" applyProtection="1">
      <alignment horizontal="center"/>
    </xf>
    <xf numFmtId="0" fontId="29" fillId="0" borderId="62" xfId="1" applyFont="1" applyBorder="1" applyAlignment="1" applyProtection="1">
      <alignment horizontal="center"/>
    </xf>
    <xf numFmtId="0" fontId="29" fillId="0" borderId="25" xfId="1" applyFont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  <protection locked="0"/>
    </xf>
    <xf numFmtId="14" fontId="24" fillId="0" borderId="8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166" fontId="23" fillId="0" borderId="0" xfId="0" applyNumberFormat="1" applyFont="1" applyAlignment="1" applyProtection="1">
      <alignment horizontal="left" vertical="center"/>
    </xf>
  </cellXfs>
  <cellStyles count="2">
    <cellStyle name="Normal" xfId="0" builtinId="0"/>
    <cellStyle name="Normal_Sheet1" xfId="1"/>
  </cellStyles>
  <dxfs count="20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0</xdr:row>
      <xdr:rowOff>152400</xdr:rowOff>
    </xdr:from>
    <xdr:to>
      <xdr:col>2</xdr:col>
      <xdr:colOff>101600</xdr:colOff>
      <xdr:row>2</xdr:row>
      <xdr:rowOff>203200</xdr:rowOff>
    </xdr:to>
    <xdr:pic>
      <xdr:nvPicPr>
        <xdr:cNvPr id="1242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52400"/>
          <a:ext cx="6604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Z55"/>
  <sheetViews>
    <sheetView showGridLines="0" showRowColHeaders="0" showZeros="0" tabSelected="1" topLeftCell="A7" zoomScale="115" zoomScaleNormal="115" zoomScalePageLayoutView="115" workbookViewId="0">
      <selection activeCell="Q25" sqref="Q25"/>
    </sheetView>
  </sheetViews>
  <sheetFormatPr baseColWidth="10" defaultColWidth="8.796875" defaultRowHeight="13" x14ac:dyDescent="0.15"/>
  <cols>
    <col min="1" max="1" width="7.796875" customWidth="1"/>
    <col min="2" max="2" width="6.796875" customWidth="1"/>
    <col min="3" max="3" width="5.59765625" customWidth="1"/>
    <col min="4" max="4" width="7.59765625" customWidth="1"/>
    <col min="5" max="5" width="10.3984375" customWidth="1"/>
    <col min="6" max="6" width="3.796875" customWidth="1"/>
    <col min="7" max="7" width="27.59765625" customWidth="1"/>
    <col min="8" max="16" width="6.59765625" customWidth="1"/>
    <col min="17" max="18" width="8.796875" customWidth="1"/>
    <col min="19" max="20" width="8.59765625" customWidth="1"/>
    <col min="21" max="21" width="9.796875" customWidth="1"/>
    <col min="22" max="23" width="8.59765625" customWidth="1"/>
    <col min="24" max="24" width="4.3984375" customWidth="1"/>
    <col min="25" max="25" width="5.59765625" customWidth="1"/>
    <col min="26" max="26" width="0" hidden="1" customWidth="1"/>
  </cols>
  <sheetData>
    <row r="1" spans="1:26" ht="13" customHeight="1" x14ac:dyDescent="0.15">
      <c r="A1" s="14"/>
      <c r="B1" s="14"/>
      <c r="C1" s="14"/>
      <c r="D1" s="14"/>
      <c r="E1" s="14"/>
      <c r="F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6" ht="72.75" customHeight="1" x14ac:dyDescent="0.65">
      <c r="A2" s="14"/>
      <c r="B2" s="14"/>
      <c r="C2" s="14"/>
      <c r="D2" s="14"/>
      <c r="E2" s="14"/>
      <c r="F2" s="14"/>
      <c r="G2" s="213" t="s">
        <v>45</v>
      </c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141"/>
      <c r="S2" s="14"/>
      <c r="T2" s="14"/>
      <c r="U2" s="14"/>
      <c r="V2" s="14"/>
      <c r="W2" s="14"/>
      <c r="X2" s="14"/>
      <c r="Y2" s="14"/>
    </row>
    <row r="3" spans="1:26" ht="29" x14ac:dyDescent="0.45">
      <c r="A3" s="14"/>
      <c r="B3" s="14"/>
      <c r="C3" s="14"/>
      <c r="D3" s="14"/>
      <c r="E3" s="14"/>
      <c r="F3" s="14"/>
      <c r="G3" s="215" t="s">
        <v>20</v>
      </c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142"/>
      <c r="S3" s="14"/>
      <c r="T3" s="14"/>
      <c r="U3" s="14"/>
      <c r="V3" s="14"/>
      <c r="W3" s="14"/>
      <c r="X3" s="14"/>
      <c r="Y3" s="14"/>
    </row>
    <row r="4" spans="1:26" ht="13" customHeight="1" x14ac:dyDescent="0.15">
      <c r="A4" s="14"/>
      <c r="B4" s="14"/>
      <c r="C4" s="14"/>
      <c r="D4" s="14"/>
      <c r="E4" s="14"/>
      <c r="F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6" ht="15" customHeight="1" x14ac:dyDescent="0.2">
      <c r="A5" s="210" t="s">
        <v>19</v>
      </c>
      <c r="B5" s="210"/>
      <c r="C5" s="211" t="s">
        <v>53</v>
      </c>
      <c r="D5" s="211"/>
      <c r="E5" s="211"/>
      <c r="F5" s="211"/>
      <c r="G5" s="211"/>
      <c r="H5" s="210" t="s">
        <v>0</v>
      </c>
      <c r="I5" s="210"/>
      <c r="J5" s="211" t="s">
        <v>54</v>
      </c>
      <c r="K5" s="211"/>
      <c r="L5" s="211"/>
      <c r="M5" s="211"/>
      <c r="N5" s="211"/>
      <c r="O5" s="18" t="s">
        <v>1</v>
      </c>
      <c r="P5" s="212" t="s">
        <v>55</v>
      </c>
      <c r="Q5" s="212"/>
      <c r="R5" s="212"/>
      <c r="S5" s="212"/>
      <c r="T5" s="18" t="s">
        <v>2</v>
      </c>
      <c r="U5" s="188">
        <v>42970</v>
      </c>
      <c r="V5" s="188"/>
      <c r="W5" s="19" t="s">
        <v>18</v>
      </c>
      <c r="X5" s="20">
        <v>1</v>
      </c>
      <c r="Y5" s="20"/>
    </row>
    <row r="6" spans="1:26" ht="13.75" customHeight="1" thickBot="1" x14ac:dyDescent="0.2">
      <c r="A6" s="21"/>
      <c r="B6" s="21"/>
      <c r="C6" s="21"/>
      <c r="D6" s="21"/>
      <c r="E6" s="21"/>
      <c r="F6" s="21"/>
      <c r="G6" s="22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3"/>
      <c r="X6" s="21"/>
      <c r="Y6" s="21"/>
    </row>
    <row r="7" spans="1:26" ht="15" customHeight="1" x14ac:dyDescent="0.15">
      <c r="A7" s="153" t="s">
        <v>4</v>
      </c>
      <c r="B7" s="154" t="s">
        <v>3</v>
      </c>
      <c r="C7" s="155" t="s">
        <v>21</v>
      </c>
      <c r="D7" s="156" t="s">
        <v>21</v>
      </c>
      <c r="E7" s="157" t="s">
        <v>5</v>
      </c>
      <c r="F7" s="157" t="s">
        <v>22</v>
      </c>
      <c r="G7" s="157" t="s">
        <v>6</v>
      </c>
      <c r="H7" s="216" t="s">
        <v>7</v>
      </c>
      <c r="I7" s="217"/>
      <c r="J7" s="218"/>
      <c r="K7" s="216" t="s">
        <v>8</v>
      </c>
      <c r="L7" s="217"/>
      <c r="M7" s="218"/>
      <c r="N7" s="219" t="s">
        <v>23</v>
      </c>
      <c r="O7" s="220"/>
      <c r="P7" s="220"/>
      <c r="Q7" s="220"/>
      <c r="R7" s="158" t="s">
        <v>9</v>
      </c>
      <c r="S7" s="154" t="s">
        <v>24</v>
      </c>
      <c r="T7" s="154" t="s">
        <v>25</v>
      </c>
      <c r="U7" s="154" t="s">
        <v>26</v>
      </c>
      <c r="V7" s="157" t="s">
        <v>47</v>
      </c>
      <c r="W7" s="159" t="s">
        <v>27</v>
      </c>
      <c r="X7" s="159" t="s">
        <v>28</v>
      </c>
      <c r="Y7" s="160" t="s">
        <v>29</v>
      </c>
    </row>
    <row r="8" spans="1:26" ht="15" customHeight="1" thickBot="1" x14ac:dyDescent="0.2">
      <c r="A8" s="161" t="s">
        <v>11</v>
      </c>
      <c r="B8" s="162" t="s">
        <v>10</v>
      </c>
      <c r="C8" s="163" t="s">
        <v>30</v>
      </c>
      <c r="D8" s="164" t="s">
        <v>27</v>
      </c>
      <c r="E8" s="165" t="s">
        <v>31</v>
      </c>
      <c r="F8" s="165" t="s">
        <v>32</v>
      </c>
      <c r="G8" s="166" t="s">
        <v>33</v>
      </c>
      <c r="H8" s="221" t="s">
        <v>34</v>
      </c>
      <c r="I8" s="222"/>
      <c r="J8" s="223"/>
      <c r="K8" s="221" t="s">
        <v>34</v>
      </c>
      <c r="L8" s="222"/>
      <c r="M8" s="223"/>
      <c r="N8" s="167" t="s">
        <v>7</v>
      </c>
      <c r="O8" s="168" t="s">
        <v>8</v>
      </c>
      <c r="P8" s="162" t="s">
        <v>35</v>
      </c>
      <c r="Q8" s="163" t="s">
        <v>9</v>
      </c>
      <c r="R8" s="162" t="s">
        <v>46</v>
      </c>
      <c r="S8" s="169" t="s">
        <v>9</v>
      </c>
      <c r="T8" s="169" t="s">
        <v>9</v>
      </c>
      <c r="U8" s="169" t="s">
        <v>9</v>
      </c>
      <c r="V8" s="165" t="s">
        <v>48</v>
      </c>
      <c r="W8" s="170" t="s">
        <v>36</v>
      </c>
      <c r="X8" s="170"/>
      <c r="Y8" s="171"/>
    </row>
    <row r="9" spans="1:26" ht="18" customHeight="1" x14ac:dyDescent="0.15">
      <c r="A9" s="103">
        <v>60.68</v>
      </c>
      <c r="B9" s="181" t="s">
        <v>57</v>
      </c>
      <c r="C9" s="124" t="s">
        <v>58</v>
      </c>
      <c r="D9" s="124" t="s">
        <v>59</v>
      </c>
      <c r="E9" s="124" t="s">
        <v>60</v>
      </c>
      <c r="F9" s="124"/>
      <c r="G9" s="182" t="s">
        <v>61</v>
      </c>
      <c r="H9" s="137">
        <v>38</v>
      </c>
      <c r="I9" s="138">
        <v>40</v>
      </c>
      <c r="J9" s="138">
        <v>42</v>
      </c>
      <c r="K9" s="137">
        <v>57</v>
      </c>
      <c r="L9" s="128">
        <v>59</v>
      </c>
      <c r="M9" s="128">
        <v>61</v>
      </c>
      <c r="N9" s="133">
        <f>IF(MAX(H9:J9)&gt;0,IF(MAX(H9:J9)&lt;0,0,TRUNC(MAX(H9:J9)/1)*1),"")</f>
        <v>42</v>
      </c>
      <c r="O9" s="134">
        <f>IF(MAX(K9:M9)&gt;0,IF(MAX(K9:M9)&lt;0,0,TRUNC(MAX(K9:M9)/1)*1),"")</f>
        <v>61</v>
      </c>
      <c r="P9" s="135">
        <f>IF(N9="","",IF(O9="","",IF(SUM(N9:O9)=0,"",SUM(N9:O9))))</f>
        <v>103</v>
      </c>
      <c r="Q9" s="144">
        <f>IF(P9="","",IF(A9="","",IF(OR(C9="UK",C9="JK",C9="SK",C9="K1",C9="K2",C9="K3",C9="K4",C9="K5",C9="K6",C9="K7",C9="K8",C9="K9",C9="K10"),IF(A9&gt;148.026,P9,IF(A9&lt;28,10^(0.89726074*LOG10(28/148.026)^2)*P9,10^(0.89726074*LOG10(A9/148.026)^2)*P9)),IF(A9&gt;174.393,P9,IF(A9&lt;32,10^(0.794358141*LOG10(32/174.393)^2)*P9,10^(0.794358141*LOG10(A9/174.393)^2)*P9)))))</f>
        <v>140.41782217563104</v>
      </c>
      <c r="R9" s="105" t="str">
        <f>IF(OR(E9="",A9="",Z9="",Q9=""),"",IF(OR(C9="UM",C9="JM",C9="SM",C9="UK",C9="JK",C9="SK"),"",Q9*(IF(ABS(1900-YEAR((Z9+1)-E9))&lt;29,0,(VLOOKUP((YEAR(Z9)-YEAR(E9)),'Meltzer-Malone'!$A$3:$B$63,2))))))</f>
        <v/>
      </c>
      <c r="S9" s="106">
        <f>IF('K1'!G7="","",'K1'!G7)</f>
        <v>6.35</v>
      </c>
      <c r="T9" s="106">
        <f>IF('K1'!K7="","",'K1'!K7)</f>
        <v>12.4</v>
      </c>
      <c r="U9" s="106">
        <f>IF('K1'!N7="","",'K1'!N7)</f>
        <v>7.35</v>
      </c>
      <c r="V9" s="147"/>
      <c r="W9" s="148"/>
      <c r="X9" s="130"/>
      <c r="Y9" s="131" t="s">
        <v>15</v>
      </c>
      <c r="Z9" s="146">
        <f>U5</f>
        <v>42970</v>
      </c>
    </row>
    <row r="10" spans="1:26" ht="18" customHeight="1" x14ac:dyDescent="0.15">
      <c r="A10" s="108"/>
      <c r="B10" s="109"/>
      <c r="C10" s="110"/>
      <c r="D10" s="111"/>
      <c r="E10" s="183"/>
      <c r="F10" s="183"/>
      <c r="G10" s="113" t="s">
        <v>54</v>
      </c>
      <c r="H10" s="206"/>
      <c r="I10" s="207"/>
      <c r="J10" s="208"/>
      <c r="K10" s="209"/>
      <c r="L10" s="207"/>
      <c r="M10" s="208"/>
      <c r="N10" s="110"/>
      <c r="O10" s="114"/>
      <c r="P10" s="204">
        <f>IF(Q9="","",Q9*1.2)</f>
        <v>168.50138661075724</v>
      </c>
      <c r="Q10" s="202"/>
      <c r="R10" s="143"/>
      <c r="S10" s="115">
        <f>IF(S9="","",S9*20)</f>
        <v>127</v>
      </c>
      <c r="T10" s="115">
        <f>IF(T9="","",T9*12)</f>
        <v>148.80000000000001</v>
      </c>
      <c r="U10" s="116">
        <f>IF(U9="","",IF((80+(8-ROUNDUP(U9,1))*40)&lt;0,0,80+(8-ROUNDUP(U9,1))*40))</f>
        <v>104.00000000000003</v>
      </c>
      <c r="V10" s="149">
        <f>IF(SUM(S10,T10,U10)&gt;0,SUM(S10,T10,U10),"")</f>
        <v>379.80000000000007</v>
      </c>
      <c r="W10" s="150">
        <f>IF(OR(P10="",S10="",T10="",U10=""),"",SUM(P10,S10,T10,U10))</f>
        <v>548.30138661075728</v>
      </c>
      <c r="X10" s="151"/>
      <c r="Y10" s="152"/>
      <c r="Z10" s="146"/>
    </row>
    <row r="11" spans="1:26" ht="18" customHeight="1" x14ac:dyDescent="0.15">
      <c r="A11" s="103">
        <v>77.099999999999994</v>
      </c>
      <c r="B11" s="184" t="s">
        <v>62</v>
      </c>
      <c r="C11" s="124" t="s">
        <v>58</v>
      </c>
      <c r="D11" s="124" t="s">
        <v>59</v>
      </c>
      <c r="E11" s="124" t="s">
        <v>63</v>
      </c>
      <c r="F11" s="124"/>
      <c r="G11" s="182" t="s">
        <v>64</v>
      </c>
      <c r="H11" s="127">
        <v>40</v>
      </c>
      <c r="I11" s="128">
        <v>42</v>
      </c>
      <c r="J11" s="128">
        <v>-44</v>
      </c>
      <c r="K11" s="127">
        <v>57</v>
      </c>
      <c r="L11" s="128">
        <v>60</v>
      </c>
      <c r="M11" s="128">
        <v>63</v>
      </c>
      <c r="N11" s="133">
        <f>IF(MAX(H11:J11)&gt;0,IF(MAX(H11:J11)&lt;0,0,TRUNC(MAX(H11:J11)/1)*1),"")</f>
        <v>42</v>
      </c>
      <c r="O11" s="134">
        <f>IF(MAX(K11:M11)&gt;0,IF(MAX(K11:M11)&lt;0,0,TRUNC(MAX(K11:M11)/1)*1),"")</f>
        <v>63</v>
      </c>
      <c r="P11" s="135">
        <f>IF(N11="","",IF(O11="","",IF(SUM(N11:O11)=0,"",SUM(N11:O11))))</f>
        <v>105</v>
      </c>
      <c r="Q11" s="144">
        <f>IF(P11="","",IF(A11="","",IF(OR(C11="UK",C11="JK",C11="SK",C11="K1",C11="K2",C11="K3",C11="K4",C11="K5",C11="K6",C11="K7",C11="K8",C11="K9",C11="K10"),IF(A11&gt;148.026,P11,IF(A11&lt;28,10^(0.89726074*LOG10(28/148.026)^2)*P11,10^(0.89726074*LOG10(A11/148.026)^2)*P11)),IF(A11&gt;174.393,P11,IF(A11&lt;32,10^(0.794358141*LOG10(32/174.393)^2)*P11,10^(0.794358141*LOG10(A11/174.393)^2)*P11)))))</f>
        <v>123.93504414623776</v>
      </c>
      <c r="R11" s="145" t="str">
        <f>IF(OR(E11="",A11="",Z11="",Q11=""),"",IF(OR(C11="UM",C11="JM",C11="SM",C11="UK",C11="JK",C11="SK"),"",Q11*(IF(ABS(1900-YEAR((Z11+1)-E11))&lt;29,0,(VLOOKUP((YEAR(Z11)-YEAR(E11)),'Meltzer-Malone'!$A$3:$B$63,2))))))</f>
        <v/>
      </c>
      <c r="S11" s="117">
        <f>IF('K1'!G9="","",'K1'!G9)</f>
        <v>6.1</v>
      </c>
      <c r="T11" s="117">
        <f>IF('K1'!K9="","",'K1'!K9)</f>
        <v>11.85</v>
      </c>
      <c r="U11" s="117">
        <f>IF('K1'!N9="","",'K1'!N9)</f>
        <v>7.85</v>
      </c>
      <c r="V11" s="106"/>
      <c r="W11" s="107"/>
      <c r="X11" s="118"/>
      <c r="Y11" s="119"/>
      <c r="Z11" s="146">
        <f>U5</f>
        <v>42970</v>
      </c>
    </row>
    <row r="12" spans="1:26" ht="18" customHeight="1" x14ac:dyDescent="0.15">
      <c r="A12" s="108"/>
      <c r="B12" s="109"/>
      <c r="C12" s="110"/>
      <c r="D12" s="111"/>
      <c r="E12" s="183"/>
      <c r="F12" s="183"/>
      <c r="G12" s="113" t="s">
        <v>54</v>
      </c>
      <c r="H12" s="206"/>
      <c r="I12" s="207"/>
      <c r="J12" s="208"/>
      <c r="K12" s="209"/>
      <c r="L12" s="207"/>
      <c r="M12" s="208"/>
      <c r="N12" s="110"/>
      <c r="O12" s="114"/>
      <c r="P12" s="204">
        <f>IF(Q11="","",Q11*1.2)</f>
        <v>148.7220529754853</v>
      </c>
      <c r="Q12" s="202"/>
      <c r="R12" s="143"/>
      <c r="S12" s="115">
        <f>IF(S11="","",S11*20)</f>
        <v>122</v>
      </c>
      <c r="T12" s="115">
        <f>IF(T11="","",T11*12)</f>
        <v>142.19999999999999</v>
      </c>
      <c r="U12" s="116">
        <f>IF(U11="","",IF((80+(8-ROUNDUP(U11,1))*40)&lt;0,0,80+(8-ROUNDUP(U11,1))*40))</f>
        <v>84.000000000000028</v>
      </c>
      <c r="V12" s="149">
        <f>IF(SUM(S12,T12,U12)&gt;0,SUM(S12,T12,U12),"")</f>
        <v>348.20000000000005</v>
      </c>
      <c r="W12" s="150">
        <f>IF(OR(P12="",S12="",T12="",U12=""),"",SUM(P12,S12,T12,U12))</f>
        <v>496.92205297548537</v>
      </c>
      <c r="X12" s="151"/>
      <c r="Y12" s="152"/>
      <c r="Z12" s="146"/>
    </row>
    <row r="13" spans="1:26" ht="18" customHeight="1" x14ac:dyDescent="0.15">
      <c r="A13" s="103">
        <v>61.68</v>
      </c>
      <c r="B13" s="184" t="s">
        <v>57</v>
      </c>
      <c r="C13" s="124" t="s">
        <v>65</v>
      </c>
      <c r="D13" s="177" t="s">
        <v>66</v>
      </c>
      <c r="E13" s="124" t="s">
        <v>67</v>
      </c>
      <c r="F13" s="124"/>
      <c r="G13" s="182" t="s">
        <v>68</v>
      </c>
      <c r="H13" s="127">
        <v>44</v>
      </c>
      <c r="I13" s="128">
        <v>47</v>
      </c>
      <c r="J13" s="128">
        <v>50</v>
      </c>
      <c r="K13" s="127">
        <v>61</v>
      </c>
      <c r="L13" s="128">
        <v>-64</v>
      </c>
      <c r="M13" s="128">
        <v>-64</v>
      </c>
      <c r="N13" s="133">
        <f>IF(MAX(H13:J13)&gt;0,IF(MAX(H13:J13)&lt;0,0,TRUNC(MAX(H13:J13)/1)*1),"")</f>
        <v>50</v>
      </c>
      <c r="O13" s="134">
        <f>IF(MAX(K13:M13)&gt;0,IF(MAX(K13:M13)&lt;0,0,TRUNC(MAX(K13:M13)/1)*1),"")</f>
        <v>61</v>
      </c>
      <c r="P13" s="135">
        <f>IF(N13="","",IF(O13="","",IF(SUM(N13:O13)=0,"",SUM(N13:O13))))</f>
        <v>111</v>
      </c>
      <c r="Q13" s="144">
        <f>IF(P13="","",IF(A13="","",IF(OR(C13="UK",C13="JK",C13="SK",C13="K1",C13="K2",C13="K3",C13="K4",C13="K5",C13="K6",C13="K7",C13="K8",C13="K9",C13="K10"),IF(A13&gt;148.026,P13,IF(A13&lt;28,10^(0.89726074*LOG10(28/148.026)^2)*P13,10^(0.89726074*LOG10(A13/148.026)^2)*P13)),IF(A13&gt;174.393,P13,IF(A13&lt;32,10^(0.794358141*LOG10(32/174.393)^2)*P13,10^(0.794358141*LOG10(A13/174.393)^2)*P13)))))</f>
        <v>149.63028701475733</v>
      </c>
      <c r="R13" s="145" t="str">
        <f>IF(OR(E13="",A13="",Z13="",Q13=""),"",IF(OR(C13="UM",C13="JM",C13="SM",C13="UK",C13="JK",C13="SK"),"",Q13*(IF(ABS(1900-YEAR((Z13+1)-E13))&lt;29,0,(VLOOKUP((YEAR(Z13)-YEAR(E13)),'Meltzer-Malone'!$A$3:$B$63,2))))))</f>
        <v/>
      </c>
      <c r="S13" s="117">
        <f>IF('K1'!G11="","",'K1'!G11)</f>
        <v>5.53</v>
      </c>
      <c r="T13" s="117">
        <f>IF('K1'!K11="","",'K1'!K11)</f>
        <v>6.8</v>
      </c>
      <c r="U13" s="117">
        <f>IF('K1'!N11="","",'K1'!N11)</f>
        <v>7.75</v>
      </c>
      <c r="V13" s="106"/>
      <c r="W13" s="107"/>
      <c r="X13" s="118"/>
      <c r="Y13" s="119"/>
      <c r="Z13" s="146">
        <f>U5</f>
        <v>42970</v>
      </c>
    </row>
    <row r="14" spans="1:26" ht="18" customHeight="1" x14ac:dyDescent="0.15">
      <c r="A14" s="108"/>
      <c r="B14" s="109"/>
      <c r="C14" s="110"/>
      <c r="D14" s="111"/>
      <c r="E14" s="183"/>
      <c r="F14" s="183"/>
      <c r="G14" s="113" t="s">
        <v>54</v>
      </c>
      <c r="H14" s="206"/>
      <c r="I14" s="207"/>
      <c r="J14" s="208"/>
      <c r="K14" s="209"/>
      <c r="L14" s="207"/>
      <c r="M14" s="208"/>
      <c r="N14" s="110"/>
      <c r="O14" s="114"/>
      <c r="P14" s="204">
        <f>IF(Q13="","",Q13*1.2)</f>
        <v>179.5563444177088</v>
      </c>
      <c r="Q14" s="202"/>
      <c r="R14" s="143"/>
      <c r="S14" s="115">
        <f>IF(S13="","",S13*20)</f>
        <v>110.60000000000001</v>
      </c>
      <c r="T14" s="115">
        <f>IF(T13="","",T13*12)</f>
        <v>81.599999999999994</v>
      </c>
      <c r="U14" s="116">
        <f>IF(U13="","",IF((80+(8-ROUNDUP(U13,1))*40)&lt;0,0,80+(8-ROUNDUP(U13,1))*40))</f>
        <v>88</v>
      </c>
      <c r="V14" s="149">
        <f>IF(SUM(S14,T14,U14)&gt;0,SUM(S14,T14,U14),"")</f>
        <v>280.2</v>
      </c>
      <c r="W14" s="150">
        <f>IF(OR(P14="",S14="",T14="",U14=""),"",SUM(P14,S14,T14,U14))</f>
        <v>459.75634441770876</v>
      </c>
      <c r="X14" s="151"/>
      <c r="Y14" s="152"/>
      <c r="Z14" s="146"/>
    </row>
    <row r="15" spans="1:26" ht="18" customHeight="1" x14ac:dyDescent="0.15">
      <c r="A15" s="103">
        <v>67.05</v>
      </c>
      <c r="B15" s="181" t="s">
        <v>69</v>
      </c>
      <c r="C15" s="124" t="s">
        <v>65</v>
      </c>
      <c r="D15" s="177" t="s">
        <v>66</v>
      </c>
      <c r="E15" s="124" t="s">
        <v>70</v>
      </c>
      <c r="F15" s="124"/>
      <c r="G15" s="182" t="s">
        <v>71</v>
      </c>
      <c r="H15" s="127">
        <v>58</v>
      </c>
      <c r="I15" s="128">
        <v>61</v>
      </c>
      <c r="J15" s="128">
        <v>64</v>
      </c>
      <c r="K15" s="127">
        <v>75</v>
      </c>
      <c r="L15" s="128">
        <v>79</v>
      </c>
      <c r="M15" s="128">
        <v>82</v>
      </c>
      <c r="N15" s="133">
        <f>IF(MAX(H15:J15)&gt;0,IF(MAX(H15:J15)&lt;0,0,TRUNC(MAX(H15:J15)/1)*1),"")</f>
        <v>64</v>
      </c>
      <c r="O15" s="134">
        <f>IF(MAX(K15:M15)&gt;0,IF(MAX(K15:M15)&lt;0,0,TRUNC(MAX(K15:M15)/1)*1),"")</f>
        <v>82</v>
      </c>
      <c r="P15" s="135">
        <f>IF(N15="","",IF(O15="","",IF(SUM(N15:O15)=0,"",SUM(N15:O15))))</f>
        <v>146</v>
      </c>
      <c r="Q15" s="144">
        <f>IF(P15="","",IF(A15="","",IF(OR(C15="UK",C15="JK",C15="SK",C15="K1",C15="K2",C15="K3",C15="K4",C15="K5",C15="K6",C15="K7",C15="K8",C15="K9",C15="K10"),IF(A15&gt;148.026,P15,IF(A15&lt;28,10^(0.89726074*LOG10(28/148.026)^2)*P15,10^(0.89726074*LOG10(A15/148.026)^2)*P15)),IF(A15&gt;174.393,P15,IF(A15&lt;32,10^(0.794358141*LOG10(32/174.393)^2)*P15,10^(0.794358141*LOG10(A15/174.393)^2)*P15)))))</f>
        <v>186.4204648224771</v>
      </c>
      <c r="R15" s="145" t="str">
        <f>IF(OR(E15="",A15="",Z15="",Q15=""),"",IF(OR(C15="UM",C15="JM",C15="SM",C15="UK",C15="JK",C15="SK"),"",Q15*(IF(ABS(1900-YEAR((Z15+1)-E15))&lt;29,0,(VLOOKUP((YEAR(Z15)-YEAR(E15)),'Meltzer-Malone'!$A$3:$B$63,2))))))</f>
        <v/>
      </c>
      <c r="S15" s="117" t="str">
        <f>IF('K1'!G13="","",'K1'!G13)</f>
        <v/>
      </c>
      <c r="T15" s="117" t="str">
        <f>IF('K1'!K13="","",'K1'!K13)</f>
        <v/>
      </c>
      <c r="U15" s="117" t="str">
        <f>IF('K1'!N13="","",'K1'!N13)</f>
        <v/>
      </c>
      <c r="V15" s="106"/>
      <c r="W15" s="107"/>
      <c r="X15" s="118"/>
      <c r="Y15" s="119"/>
      <c r="Z15" s="146">
        <f>U5</f>
        <v>42970</v>
      </c>
    </row>
    <row r="16" spans="1:26" ht="18" customHeight="1" x14ac:dyDescent="0.15">
      <c r="A16" s="108"/>
      <c r="B16" s="109"/>
      <c r="C16" s="185"/>
      <c r="D16" s="186"/>
      <c r="E16" s="183"/>
      <c r="F16" s="183"/>
      <c r="G16" s="187" t="s">
        <v>54</v>
      </c>
      <c r="H16" s="206"/>
      <c r="I16" s="207"/>
      <c r="J16" s="208"/>
      <c r="K16" s="209"/>
      <c r="L16" s="207"/>
      <c r="M16" s="208"/>
      <c r="N16" s="110"/>
      <c r="O16" s="114"/>
      <c r="P16" s="204">
        <f>IF(Q15="","",Q15*1.2)</f>
        <v>223.70455778697252</v>
      </c>
      <c r="Q16" s="202"/>
      <c r="R16" s="143"/>
      <c r="S16" s="115" t="str">
        <f>IF(S15="","",S15*20)</f>
        <v/>
      </c>
      <c r="T16" s="115" t="str">
        <f>IF(T15="","",T15*12)</f>
        <v/>
      </c>
      <c r="U16" s="116" t="str">
        <f>IF(U15="","",IF((80+(8-ROUNDUP(U15,1))*40)&lt;0,0,80+(8-ROUNDUP(U15,1))*40))</f>
        <v/>
      </c>
      <c r="V16" s="149" t="str">
        <f>IF(SUM(S16,T16,U16)&gt;0,SUM(S16,T16,U16),"")</f>
        <v/>
      </c>
      <c r="W16" s="150" t="str">
        <f>IF(OR(P16="",S16="",T16="",U16=""),"",SUM(P16,S16,T16,U16))</f>
        <v/>
      </c>
      <c r="X16" s="151"/>
      <c r="Y16" s="152"/>
      <c r="Z16" s="146"/>
    </row>
    <row r="17" spans="1:26" ht="18" customHeight="1" x14ac:dyDescent="0.15">
      <c r="A17" s="103">
        <v>78.680000000000007</v>
      </c>
      <c r="B17" s="184" t="s">
        <v>72</v>
      </c>
      <c r="C17" s="124" t="s">
        <v>65</v>
      </c>
      <c r="D17" s="123" t="s">
        <v>66</v>
      </c>
      <c r="E17" s="125">
        <v>33492</v>
      </c>
      <c r="F17" s="125"/>
      <c r="G17" s="126" t="s">
        <v>73</v>
      </c>
      <c r="H17" s="127">
        <v>77</v>
      </c>
      <c r="I17" s="128">
        <v>80</v>
      </c>
      <c r="J17" s="128">
        <v>-83</v>
      </c>
      <c r="K17" s="127">
        <v>93</v>
      </c>
      <c r="L17" s="128">
        <v>96</v>
      </c>
      <c r="M17" s="128">
        <v>98</v>
      </c>
      <c r="N17" s="133">
        <f>IF(MAX(H17:J17)&gt;0,IF(MAX(H17:J17)&lt;0,0,TRUNC(MAX(H17:J17)/1)*1),"")</f>
        <v>80</v>
      </c>
      <c r="O17" s="134">
        <f>IF(MAX(K17:M17)&gt;0,IF(MAX(K17:M17)&lt;0,0,TRUNC(MAX(K17:M17)/1)*1),"")</f>
        <v>98</v>
      </c>
      <c r="P17" s="135">
        <f>IF(N17="","",IF(O17="","",IF(SUM(N17:O17)=0,"",SUM(N17:O17))))</f>
        <v>178</v>
      </c>
      <c r="Q17" s="144">
        <f>IF(P17="","",IF(A17="","",IF(OR(C17="UK",C17="JK",C17="SK",C17="K1",C17="K2",C17="K3",C17="K4",C17="K5",C17="K6",C17="K7",C17="K8",C17="K9",C17="K10"),IF(A17&gt;148.026,P17,IF(A17&lt;28,10^(0.89726074*LOG10(28/148.026)^2)*P17,10^(0.89726074*LOG10(A17/148.026)^2)*P17)),IF(A17&gt;174.393,P17,IF(A17&lt;32,10^(0.794358141*LOG10(32/174.393)^2)*P17,10^(0.794358141*LOG10(A17/174.393)^2)*P17)))))</f>
        <v>207.97725664949263</v>
      </c>
      <c r="R17" s="145" t="str">
        <f>IF(OR(E17="",A17="",Z17="",Q17=""),"",IF(OR(C17="UM",C17="JM",C17="SM",C17="UK",C17="JK",C17="SK"),"",Q17*(IF(ABS(1900-YEAR((Z17+1)-E17))&lt;29,0,(VLOOKUP((YEAR(Z17)-YEAR(E17)),'Meltzer-Malone'!$A$3:$B$63,2))))))</f>
        <v/>
      </c>
      <c r="S17" s="117" t="str">
        <f>IF('K1'!G15="","",'K1'!G15)</f>
        <v/>
      </c>
      <c r="T17" s="117" t="str">
        <f>IF('K1'!K15="","",'K1'!K15)</f>
        <v/>
      </c>
      <c r="U17" s="117" t="str">
        <f>IF('K1'!N15="","",'K1'!N15)</f>
        <v/>
      </c>
      <c r="V17" s="106"/>
      <c r="W17" s="107"/>
      <c r="X17" s="118"/>
      <c r="Y17" s="119"/>
      <c r="Z17" s="146">
        <f>U5</f>
        <v>42970</v>
      </c>
    </row>
    <row r="18" spans="1:26" ht="18" customHeight="1" x14ac:dyDescent="0.15">
      <c r="A18" s="108"/>
      <c r="B18" s="109"/>
      <c r="C18" s="110"/>
      <c r="D18" s="111"/>
      <c r="E18" s="112"/>
      <c r="F18" s="112"/>
      <c r="G18" s="113" t="s">
        <v>54</v>
      </c>
      <c r="H18" s="206"/>
      <c r="I18" s="207"/>
      <c r="J18" s="208"/>
      <c r="K18" s="209"/>
      <c r="L18" s="207"/>
      <c r="M18" s="208"/>
      <c r="N18" s="110"/>
      <c r="O18" s="114"/>
      <c r="P18" s="204">
        <f>IF(Q17="","",Q17*1.2)</f>
        <v>249.57270797939114</v>
      </c>
      <c r="Q18" s="202"/>
      <c r="R18" s="143"/>
      <c r="S18" s="115" t="str">
        <f>IF(S17="","",S17*20)</f>
        <v/>
      </c>
      <c r="T18" s="115" t="str">
        <f>IF(T17="","",T17*12)</f>
        <v/>
      </c>
      <c r="U18" s="116" t="str">
        <f>IF(U17="","",IF((80+(8-ROUNDUP(U17,1))*40)&lt;0,0,80+(8-ROUNDUP(U17,1))*40))</f>
        <v/>
      </c>
      <c r="V18" s="149" t="str">
        <f>IF(SUM(S18,T18,U18)&gt;0,SUM(S18,T18,U18),"")</f>
        <v/>
      </c>
      <c r="W18" s="150" t="str">
        <f>IF(OR(P18="",S18="",T18="",U18=""),"",SUM(P18,S18,T18,U18))</f>
        <v/>
      </c>
      <c r="X18" s="151"/>
      <c r="Y18" s="152"/>
      <c r="Z18" s="146"/>
    </row>
    <row r="19" spans="1:26" ht="18" customHeight="1" x14ac:dyDescent="0.15">
      <c r="A19" s="103">
        <v>84.93</v>
      </c>
      <c r="B19" s="184" t="s">
        <v>72</v>
      </c>
      <c r="C19" s="124" t="s">
        <v>74</v>
      </c>
      <c r="D19" s="123" t="s">
        <v>66</v>
      </c>
      <c r="E19" s="125">
        <v>29367</v>
      </c>
      <c r="F19" s="125"/>
      <c r="G19" s="126" t="s">
        <v>75</v>
      </c>
      <c r="H19" s="127">
        <v>47</v>
      </c>
      <c r="I19" s="128">
        <v>50</v>
      </c>
      <c r="J19" s="128">
        <v>52</v>
      </c>
      <c r="K19" s="127">
        <v>65</v>
      </c>
      <c r="L19" s="128">
        <v>68</v>
      </c>
      <c r="M19" s="128">
        <v>70</v>
      </c>
      <c r="N19" s="133">
        <f>IF(MAX(H19:J19)&gt;0,IF(MAX(H19:J19)&lt;0,0,TRUNC(MAX(H19:J19)/1)*1),"")</f>
        <v>52</v>
      </c>
      <c r="O19" s="134">
        <f>IF(MAX(K19:M19)&gt;0,IF(MAX(K19:M19)&lt;0,0,TRUNC(MAX(K19:M19)/1)*1),"")</f>
        <v>70</v>
      </c>
      <c r="P19" s="135">
        <f>IF(N19="","",IF(O19="","",IF(SUM(N19:O19)=0,"",SUM(N19:O19))))</f>
        <v>122</v>
      </c>
      <c r="Q19" s="144">
        <f>IF(P19="","",IF(A19="","",IF(OR(C19="UK",C19="JK",C19="SK",C19="K1",C19="K2",C19="K3",C19="K4",C19="K5",C19="K6",C19="K7",C19="K8",C19="K9",C19="K10"),IF(A19&gt;148.026,P19,IF(A19&lt;28,10^(0.89726074*LOG10(28/148.026)^2)*P19,10^(0.89726074*LOG10(A19/148.026)^2)*P19)),IF(A19&gt;174.393,P19,IF(A19&lt;32,10^(0.794358141*LOG10(32/174.393)^2)*P19,10^(0.794358141*LOG10(A19/174.393)^2)*P19)))))</f>
        <v>137.5920829454177</v>
      </c>
      <c r="R19" s="145">
        <f>IF(OR(E19="",A19="",Z19="",Q19=""),"",IF(OR(C19="UM",C19="JM",C19="SM",C19="UK",C19="JK",C19="SK"),"",Q19*(IF(ABS(1900-YEAR((Z19+1)-E19))&lt;29,0,(VLOOKUP((YEAR(Z19)-YEAR(E19)),'Meltzer-Malone'!$A$3:$B$63,2))))))</f>
        <v>150.80092290817782</v>
      </c>
      <c r="S19" s="117" t="str">
        <f>IF('K1'!G17="","",'K1'!G17)</f>
        <v/>
      </c>
      <c r="T19" s="117" t="str">
        <f>IF('K1'!K17="","",'K1'!K17)</f>
        <v/>
      </c>
      <c r="U19" s="117" t="str">
        <f>IF('K1'!N17="","",'K1'!N17)</f>
        <v/>
      </c>
      <c r="V19" s="106"/>
      <c r="W19" s="107"/>
      <c r="X19" s="118"/>
      <c r="Y19" s="119" t="s">
        <v>99</v>
      </c>
      <c r="Z19" s="146">
        <f>U5</f>
        <v>42970</v>
      </c>
    </row>
    <row r="20" spans="1:26" ht="18" customHeight="1" x14ac:dyDescent="0.15">
      <c r="A20" s="108"/>
      <c r="B20" s="109"/>
      <c r="C20" s="110"/>
      <c r="D20" s="111"/>
      <c r="E20" s="112"/>
      <c r="F20" s="112"/>
      <c r="G20" s="113" t="s">
        <v>54</v>
      </c>
      <c r="H20" s="206"/>
      <c r="I20" s="207"/>
      <c r="J20" s="208"/>
      <c r="K20" s="209"/>
      <c r="L20" s="207"/>
      <c r="M20" s="208"/>
      <c r="N20" s="110"/>
      <c r="O20" s="114"/>
      <c r="P20" s="204">
        <f>IF(Q19="","",Q19*1.2)</f>
        <v>165.11049953450123</v>
      </c>
      <c r="Q20" s="202"/>
      <c r="R20" s="143"/>
      <c r="S20" s="115" t="str">
        <f>IF(S19="","",S19*20)</f>
        <v/>
      </c>
      <c r="T20" s="115" t="str">
        <f>IF(T19="","",T19*12)</f>
        <v/>
      </c>
      <c r="U20" s="116" t="str">
        <f>IF(U19="","",IF((80+(8-ROUNDUP(U19,1))*40)&lt;0,0,80+(8-ROUNDUP(U19,1))*40))</f>
        <v/>
      </c>
      <c r="V20" s="149" t="str">
        <f>IF(SUM(S20,T20,U20)&gt;0,SUM(S20,T20,U20),"")</f>
        <v/>
      </c>
      <c r="W20" s="150" t="str">
        <f>IF(OR(P20="",S20="",T20="",U20=""),"",SUM(P20,S20,T20,U20))</f>
        <v/>
      </c>
      <c r="X20" s="151"/>
      <c r="Y20" s="152"/>
      <c r="Z20" s="146"/>
    </row>
    <row r="21" spans="1:26" ht="18" customHeight="1" x14ac:dyDescent="0.15">
      <c r="A21" s="122">
        <v>59.26</v>
      </c>
      <c r="B21" s="123" t="s">
        <v>102</v>
      </c>
      <c r="C21" s="124" t="s">
        <v>74</v>
      </c>
      <c r="D21" s="177" t="s">
        <v>66</v>
      </c>
      <c r="E21" s="124" t="s">
        <v>94</v>
      </c>
      <c r="F21" s="124"/>
      <c r="G21" s="136" t="s">
        <v>95</v>
      </c>
      <c r="H21" s="127">
        <v>20</v>
      </c>
      <c r="I21" s="128">
        <v>-22</v>
      </c>
      <c r="J21" s="128">
        <v>-22</v>
      </c>
      <c r="K21" s="127">
        <v>30</v>
      </c>
      <c r="L21" s="128">
        <v>33</v>
      </c>
      <c r="M21" s="128">
        <v>35</v>
      </c>
      <c r="N21" s="133">
        <f>IF(MAX(H21:J21)&gt;0,IF(MAX(H21:J21)&lt;0,0,TRUNC(MAX(H21:J21)/1)*1),"")</f>
        <v>20</v>
      </c>
      <c r="O21" s="134">
        <f>IF(MAX(K21:M21)&gt;0,IF(MAX(K21:M21)&lt;0,0,TRUNC(MAX(K21:M21)/1)*1),"")</f>
        <v>35</v>
      </c>
      <c r="P21" s="135">
        <f>IF(N21="","",IF(O21="","",IF(SUM(N21:O21)=0,"",SUM(N21:O21))))</f>
        <v>55</v>
      </c>
      <c r="Q21" s="144">
        <f>IF(P21="","",IF(A21="","",IF(OR(C21="UK",C21="JK",C21="SK",C21="K1",C21="K2",C21="K3",C21="K4",C21="K5",C21="K6",C21="K7",C21="K8",C21="K9",C21="K10"),IF(A21&gt;148.026,P21,IF(A21&lt;28,10^(0.89726074*LOG10(28/148.026)^2)*P21,10^(0.89726074*LOG10(A21/148.026)^2)*P21)),IF(A21&gt;174.393,P21,IF(A21&lt;32,10^(0.794358141*LOG10(32/174.393)^2)*P21,10^(0.794358141*LOG10(A21/174.393)^2)*P21)))))</f>
        <v>76.241242670725597</v>
      </c>
      <c r="R21" s="145">
        <f>IF(OR(E21="",A21="",Z21="",Q21=""),"",IF(OR(C21="UM",C21="JM",C21="SM",C21="UK",C21="JK",C21="SK"),"",Q21*(IF(ABS(1900-YEAR((Z21+1)-E21))&lt;29,0,(VLOOKUP((YEAR(Z21)-YEAR(E21)),'Meltzer-Malone'!$A$3:$B$63,2))))))</f>
        <v>83.560401967115254</v>
      </c>
      <c r="S21" s="117" t="str">
        <f>IF('K1'!G19="","",'K1'!G19)</f>
        <v/>
      </c>
      <c r="T21" s="117" t="str">
        <f>IF('K1'!K19="","",'K1'!K19)</f>
        <v/>
      </c>
      <c r="U21" s="117" t="str">
        <f>IF('K1'!N19="","",'K1'!N19)</f>
        <v/>
      </c>
      <c r="V21" s="106"/>
      <c r="W21" s="107"/>
      <c r="X21" s="118"/>
      <c r="Y21" s="119"/>
      <c r="Z21" s="146">
        <f>U5</f>
        <v>42970</v>
      </c>
    </row>
    <row r="22" spans="1:26" ht="18" customHeight="1" x14ac:dyDescent="0.15">
      <c r="A22" s="108"/>
      <c r="B22" s="109"/>
      <c r="C22" s="110"/>
      <c r="D22" s="111"/>
      <c r="E22" s="139"/>
      <c r="F22" s="139"/>
      <c r="G22" s="140" t="s">
        <v>54</v>
      </c>
      <c r="H22" s="206"/>
      <c r="I22" s="207"/>
      <c r="J22" s="208"/>
      <c r="K22" s="209"/>
      <c r="L22" s="207"/>
      <c r="M22" s="208"/>
      <c r="N22" s="110"/>
      <c r="O22" s="114"/>
      <c r="P22" s="204">
        <f>IF(Q21="","",Q21*1.2)</f>
        <v>91.489491204870717</v>
      </c>
      <c r="Q22" s="202"/>
      <c r="R22" s="143"/>
      <c r="S22" s="115" t="str">
        <f>IF(S21="","",S21*20)</f>
        <v/>
      </c>
      <c r="T22" s="115" t="str">
        <f>IF(T21="","",T21*12)</f>
        <v/>
      </c>
      <c r="U22" s="116" t="str">
        <f>IF(U21="","",IF((80+(8-ROUNDUP(U21,1))*40)&lt;0,0,80+(8-ROUNDUP(U21,1))*40))</f>
        <v/>
      </c>
      <c r="V22" s="149" t="str">
        <f>IF(SUM(S22,T22,U22)&gt;0,SUM(S22,T22,U22),"")</f>
        <v/>
      </c>
      <c r="W22" s="150" t="str">
        <f>IF(OR(P22="",S22="",T22="",U22=""),"",SUM(P22,S22,T22,U22))</f>
        <v/>
      </c>
      <c r="X22" s="151"/>
      <c r="Y22" s="152"/>
      <c r="Z22" s="146"/>
    </row>
    <row r="23" spans="1:26" ht="18" customHeight="1" x14ac:dyDescent="0.15">
      <c r="A23" s="122">
        <v>68.02</v>
      </c>
      <c r="B23" s="123" t="s">
        <v>69</v>
      </c>
      <c r="C23" s="124" t="s">
        <v>76</v>
      </c>
      <c r="D23" s="124" t="s">
        <v>77</v>
      </c>
      <c r="E23" s="124" t="s">
        <v>78</v>
      </c>
      <c r="F23" s="124"/>
      <c r="G23" s="136" t="s">
        <v>79</v>
      </c>
      <c r="H23" s="127">
        <v>25</v>
      </c>
      <c r="I23" s="128">
        <v>28</v>
      </c>
      <c r="J23" s="128">
        <v>30</v>
      </c>
      <c r="K23" s="127">
        <v>38</v>
      </c>
      <c r="L23" s="128">
        <v>-40</v>
      </c>
      <c r="M23" s="128">
        <v>40</v>
      </c>
      <c r="N23" s="133">
        <f>IF(MAX(H23:J23)&gt;0,IF(MAX(H23:J23)&lt;0,0,TRUNC(MAX(H23:J23)/1)*1),"")</f>
        <v>30</v>
      </c>
      <c r="O23" s="134">
        <f>IF(MAX(K23:M23)&gt;0,IF(MAX(K23:M23)&lt;0,0,TRUNC(MAX(K23:M23)/1)*1),"")</f>
        <v>40</v>
      </c>
      <c r="P23" s="135">
        <f>IF(N23="","",IF(O23="","",IF(SUM(N23:O23)=0,"",SUM(N23:O23))))</f>
        <v>70</v>
      </c>
      <c r="Q23" s="144">
        <f>IF(P23="","",IF(A23="","",IF(OR(C23="UK",C23="JK",C23="SK",C23="K1",C23="K2",C23="K3",C23="K4",C23="K5",C23="K6",C23="K7",C23="K8",C23="K9",C23="K10"),IF(A23&gt;148.026,P23,IF(A23&lt;28,10^(0.89726074*LOG10(28/148.026)^2)*P23,10^(0.89726074*LOG10(A23/148.026)^2)*P23)),IF(A23&gt;174.393,P23,IF(A23&lt;32,10^(0.794358141*LOG10(32/174.393)^2)*P23,10^(0.794358141*LOG10(A23/174.393)^2)*P23)))))</f>
        <v>95.040600187757391</v>
      </c>
      <c r="R23" s="145" t="str">
        <f>IF(OR(E23="",A23="",Z23="",Q23=""),"",IF(OR(C23="UM",C23="JM",C23="SM",C23="UK",C23="JK",C23="SK"),"",Q23*(IF(ABS(1900-YEAR((Z23+1)-E23))&lt;29,0,(VLOOKUP((YEAR(Z23)-YEAR(E23)),'Meltzer-Malone'!$A$3:$B$63,2))))))</f>
        <v/>
      </c>
      <c r="S23" s="117" t="str">
        <f>IF('K1'!G21="","",'K1'!G21)</f>
        <v/>
      </c>
      <c r="T23" s="117" t="str">
        <f>IF('K1'!K21="","",'K1'!K21)</f>
        <v/>
      </c>
      <c r="U23" s="117" t="str">
        <f>IF('K1'!N21="","",'K1'!N21)</f>
        <v/>
      </c>
      <c r="V23" s="106"/>
      <c r="W23" s="107"/>
      <c r="X23" s="118"/>
      <c r="Y23" s="119"/>
      <c r="Z23" s="146">
        <f>U5</f>
        <v>42970</v>
      </c>
    </row>
    <row r="24" spans="1:26" ht="18" customHeight="1" x14ac:dyDescent="0.15">
      <c r="A24" s="108"/>
      <c r="B24" s="109"/>
      <c r="C24" s="110"/>
      <c r="D24" s="111"/>
      <c r="E24" s="112"/>
      <c r="F24" s="112"/>
      <c r="G24" s="113" t="s">
        <v>54</v>
      </c>
      <c r="H24" s="206"/>
      <c r="I24" s="207"/>
      <c r="J24" s="208"/>
      <c r="K24" s="209"/>
      <c r="L24" s="207"/>
      <c r="M24" s="208"/>
      <c r="N24" s="110"/>
      <c r="O24" s="114"/>
      <c r="P24" s="204">
        <f>IF(Q23="","",Q23*1.2)</f>
        <v>114.04872022530887</v>
      </c>
      <c r="Q24" s="202"/>
      <c r="R24" s="143"/>
      <c r="S24" s="115" t="str">
        <f>IF(S23="","",S23*20)</f>
        <v/>
      </c>
      <c r="T24" s="115" t="str">
        <f>IF(T23="","",T23*12)</f>
        <v/>
      </c>
      <c r="U24" s="116" t="str">
        <f>IF(U23="","",IF((80+(8-ROUNDUP(U23,1))*40)&lt;0,0,80+(8-ROUNDUP(U23,1))*40))</f>
        <v/>
      </c>
      <c r="V24" s="149" t="str">
        <f>IF(SUM(S24,T24,U24)&gt;0,SUM(S24,T24,U24),"")</f>
        <v/>
      </c>
      <c r="W24" s="150" t="str">
        <f>IF(OR(P24="",S24="",T24="",U24=""),"",SUM(P24,S24,T24,U24))</f>
        <v/>
      </c>
      <c r="X24" s="151"/>
      <c r="Y24" s="152"/>
      <c r="Z24" s="146"/>
    </row>
    <row r="25" spans="1:26" ht="18" customHeight="1" x14ac:dyDescent="0.15">
      <c r="A25" s="122">
        <v>76.510000000000005</v>
      </c>
      <c r="B25" s="123" t="s">
        <v>80</v>
      </c>
      <c r="C25" s="124" t="s">
        <v>76</v>
      </c>
      <c r="D25" s="124" t="s">
        <v>59</v>
      </c>
      <c r="E25" s="124" t="s">
        <v>81</v>
      </c>
      <c r="F25" s="124"/>
      <c r="G25" s="136" t="s">
        <v>82</v>
      </c>
      <c r="H25" s="104">
        <v>-75</v>
      </c>
      <c r="I25" s="104">
        <v>75</v>
      </c>
      <c r="J25" s="104">
        <v>-80</v>
      </c>
      <c r="K25" s="104">
        <v>87</v>
      </c>
      <c r="L25" s="104">
        <v>-91</v>
      </c>
      <c r="M25" s="104">
        <v>91</v>
      </c>
      <c r="N25" s="133">
        <f>IF(MAX(H25:J25)&gt;0,IF(MAX(H25:J25)&lt;0,0,TRUNC(MAX(H25:J25)/1)*1),"")</f>
        <v>75</v>
      </c>
      <c r="O25" s="134">
        <f>IF(MAX(K25:M25)&gt;0,IF(MAX(K25:M25)&lt;0,0,TRUNC(MAX(K25:M25)/1)*1),"")</f>
        <v>91</v>
      </c>
      <c r="P25" s="135">
        <f>IF(N25="","",IF(O25="","",IF(SUM(N25:O25)=0,"",SUM(N25:O25))))</f>
        <v>166</v>
      </c>
      <c r="Q25" s="144">
        <f>IF(P25="","",IF(A25="","",IF(OR(C25="UK",C25="JK",C25="SK",C25="K1",C25="K2",C25="K3",C25="K4",C25="K5",C25="K6",C25="K7",C25="K8",C25="K9",C25="K10"),IF(A25&gt;148.026,P25,IF(A25&lt;28,10^(0.89726074*LOG10(28/148.026)^2)*P25,10^(0.89726074*LOG10(A25/148.026)^2)*P25)),IF(A25&gt;174.393,P25,IF(A25&lt;32,10^(0.794358141*LOG10(32/174.393)^2)*P25,10^(0.794358141*LOG10(A25/174.393)^2)*P25)))))</f>
        <v>209.80152968420941</v>
      </c>
      <c r="R25" s="145" t="str">
        <f>IF(OR(E25="",A25="",Z25="",Q25=""),"",IF(OR(C25="UM",C25="JM",C25="SM",C25="UK",C25="JK",C25="SK"),"",Q25*(IF(ABS(1900-YEAR((Z25+1)-E25))&lt;29,0,(VLOOKUP((YEAR(Z25)-YEAR(E25)),'Meltzer-Malone'!$A$3:$B$63,2))))))</f>
        <v/>
      </c>
      <c r="S25" s="117">
        <f>IF('K1'!G23="","",'K1'!G23)</f>
        <v>7.18</v>
      </c>
      <c r="T25" s="117">
        <f>IF('K1'!K23="","",'K1'!K23)</f>
        <v>11.7</v>
      </c>
      <c r="U25" s="117">
        <f>IF('K1'!N23="","",'K1'!N23)</f>
        <v>6.71</v>
      </c>
      <c r="V25" s="106"/>
      <c r="W25" s="107"/>
      <c r="X25" s="118"/>
      <c r="Y25" s="119"/>
      <c r="Z25" s="146">
        <f>U5</f>
        <v>42970</v>
      </c>
    </row>
    <row r="26" spans="1:26" ht="18" customHeight="1" x14ac:dyDescent="0.15">
      <c r="A26" s="108"/>
      <c r="B26" s="109"/>
      <c r="C26" s="110"/>
      <c r="D26" s="111"/>
      <c r="E26" s="112"/>
      <c r="F26" s="112"/>
      <c r="G26" s="113" t="s">
        <v>54</v>
      </c>
      <c r="H26" s="201"/>
      <c r="I26" s="202"/>
      <c r="J26" s="203"/>
      <c r="K26" s="201"/>
      <c r="L26" s="202"/>
      <c r="M26" s="203"/>
      <c r="N26" s="110"/>
      <c r="O26" s="114"/>
      <c r="P26" s="204">
        <f>IF(Q25="","",Q25*1.2)</f>
        <v>251.76183562105129</v>
      </c>
      <c r="Q26" s="202"/>
      <c r="R26" s="143"/>
      <c r="S26" s="115">
        <f>IF(S25="","",S25*20)</f>
        <v>143.6</v>
      </c>
      <c r="T26" s="115">
        <f>IF(T25="","",T25*12)</f>
        <v>140.39999999999998</v>
      </c>
      <c r="U26" s="116">
        <f>IF(U25="","",IF((80+(8-ROUNDUP(U25,1))*40)&lt;0,0,80+(8-ROUNDUP(U25,1))*40))</f>
        <v>128</v>
      </c>
      <c r="V26" s="149">
        <f>IF(SUM(S26,T26,U26)&gt;0,SUM(S26,T26,U26),"")</f>
        <v>412</v>
      </c>
      <c r="W26" s="150">
        <f>IF(OR(P26="",S26="",T26="",U26=""),"",SUM(P26,S26,T26,U26))</f>
        <v>663.7618356210512</v>
      </c>
      <c r="X26" s="151"/>
      <c r="Y26" s="152"/>
      <c r="Z26" s="146"/>
    </row>
    <row r="27" spans="1:26" ht="18" customHeight="1" x14ac:dyDescent="0.15">
      <c r="A27" s="122">
        <v>72.97</v>
      </c>
      <c r="B27" s="132" t="s">
        <v>80</v>
      </c>
      <c r="C27" s="124" t="s">
        <v>76</v>
      </c>
      <c r="D27" s="124" t="s">
        <v>83</v>
      </c>
      <c r="E27" s="124" t="s">
        <v>84</v>
      </c>
      <c r="F27" s="124"/>
      <c r="G27" s="136" t="s">
        <v>101</v>
      </c>
      <c r="H27" s="104">
        <v>65</v>
      </c>
      <c r="I27" s="104">
        <v>70</v>
      </c>
      <c r="J27" s="104">
        <v>-75</v>
      </c>
      <c r="K27" s="104">
        <v>90</v>
      </c>
      <c r="L27" s="104">
        <v>95</v>
      </c>
      <c r="M27" s="104">
        <v>-100</v>
      </c>
      <c r="N27" s="133">
        <f>IF(MAX(H27:J27)&gt;0,IF(MAX(H27:J27)&lt;0,0,TRUNC(MAX(H27:J27)/1)*1),"")</f>
        <v>70</v>
      </c>
      <c r="O27" s="134">
        <f>IF(MAX(K27:M27)&gt;0,IF(MAX(K27:M27)&lt;0,0,TRUNC(MAX(K27:M27)/1)*1),"")</f>
        <v>95</v>
      </c>
      <c r="P27" s="135">
        <f>IF(N27="","",IF(O27="","",IF(SUM(N27:O27)=0,"",SUM(N27:O27))))</f>
        <v>165</v>
      </c>
      <c r="Q27" s="144">
        <f>IF(P27="","",IF(A27="","",IF(OR(C27="UK",C27="JK",C27="SK",C27="K1",C27="K2",C27="K3",C27="K4",C27="K5",C27="K6",C27="K7",C27="K8",C27="K9",C27="K10"),IF(A27&gt;148.026,P27,IF(A27&lt;28,10^(0.89726074*LOG10(28/148.026)^2)*P27,10^(0.89726074*LOG10(A27/148.026)^2)*P27)),IF(A27&gt;174.393,P27,IF(A27&lt;32,10^(0.794358141*LOG10(32/174.393)^2)*P27,10^(0.794358141*LOG10(A27/174.393)^2)*P27)))))</f>
        <v>214.39574287436824</v>
      </c>
      <c r="R27" s="145" t="str">
        <f>IF(OR(E27="",A27="",Z27="",Q27=""),"",IF(OR(C27="UM",C27="JM",C27="SM",C27="UK",C27="JK",C27="SK"),"",Q27*(IF(ABS(1900-YEAR((Z27+1)-E27))&lt;29,0,(VLOOKUP((YEAR(Z27)-YEAR(E27)),'Meltzer-Malone'!$A$3:$B$63,2))))))</f>
        <v/>
      </c>
      <c r="S27" s="117">
        <f>IF('K1'!G25="","",'K1'!G25)</f>
        <v>8.5500000000000007</v>
      </c>
      <c r="T27" s="117">
        <f>IF('K1'!K25="","",'K1'!K25)</f>
        <v>10.7</v>
      </c>
      <c r="U27" s="117">
        <f>IF('K1'!N25="","",'K1'!N25)</f>
        <v>6.15</v>
      </c>
      <c r="V27" s="106"/>
      <c r="W27" s="107"/>
      <c r="X27" s="118"/>
      <c r="Y27" s="119"/>
      <c r="Z27" s="146">
        <f>U5</f>
        <v>42970</v>
      </c>
    </row>
    <row r="28" spans="1:26" ht="18" customHeight="1" x14ac:dyDescent="0.15">
      <c r="A28" s="108"/>
      <c r="B28" s="109"/>
      <c r="C28" s="110"/>
      <c r="D28" s="111"/>
      <c r="E28" s="112"/>
      <c r="F28" s="112"/>
      <c r="G28" s="113" t="s">
        <v>54</v>
      </c>
      <c r="H28" s="201"/>
      <c r="I28" s="202"/>
      <c r="J28" s="203"/>
      <c r="K28" s="201"/>
      <c r="L28" s="202"/>
      <c r="M28" s="203"/>
      <c r="N28" s="110"/>
      <c r="O28" s="114"/>
      <c r="P28" s="204">
        <f>IF(Q27="","",Q27*1.2)</f>
        <v>257.27489144924186</v>
      </c>
      <c r="Q28" s="202"/>
      <c r="R28" s="143"/>
      <c r="S28" s="115">
        <f>IF(S27="","",S27*20)</f>
        <v>171</v>
      </c>
      <c r="T28" s="115">
        <f>IF(T27="","",T27*12)</f>
        <v>128.39999999999998</v>
      </c>
      <c r="U28" s="116">
        <f>IF(U27="","",IF((80+(8-ROUNDUP(U27,1))*40)&lt;0,0,80+(8-ROUNDUP(U27,1))*40))</f>
        <v>152.00000000000003</v>
      </c>
      <c r="V28" s="149">
        <f>IF(SUM(S28,T28,U28)&gt;0,SUM(S28,T28,U28),"")</f>
        <v>451.4</v>
      </c>
      <c r="W28" s="150">
        <f>IF(OR(P28="",S28="",T28="",U28=""),"",SUM(P28,S28,T28,U28))</f>
        <v>708.67489144924184</v>
      </c>
      <c r="X28" s="151"/>
      <c r="Y28" s="152"/>
      <c r="Z28" s="146"/>
    </row>
    <row r="29" spans="1:26" ht="18" customHeight="1" x14ac:dyDescent="0.15">
      <c r="A29" s="122">
        <v>93.59</v>
      </c>
      <c r="B29" s="123" t="s">
        <v>85</v>
      </c>
      <c r="C29" s="124" t="s">
        <v>86</v>
      </c>
      <c r="D29" s="124" t="s">
        <v>66</v>
      </c>
      <c r="E29" s="124" t="s">
        <v>87</v>
      </c>
      <c r="F29" s="124"/>
      <c r="G29" s="136" t="s">
        <v>88</v>
      </c>
      <c r="H29" s="104">
        <v>85</v>
      </c>
      <c r="I29" s="104">
        <v>-90</v>
      </c>
      <c r="J29" s="104">
        <v>-92</v>
      </c>
      <c r="K29" s="104">
        <v>111</v>
      </c>
      <c r="L29" s="104">
        <v>-115</v>
      </c>
      <c r="M29" s="104">
        <v>115</v>
      </c>
      <c r="N29" s="133">
        <f>IF(MAX(H29:J29)&gt;0,IF(MAX(H29:J29)&lt;0,0,TRUNC(MAX(H29:J29)/1)*1),"")</f>
        <v>85</v>
      </c>
      <c r="O29" s="134">
        <f>IF(MAX(K29:M29)&gt;0,IF(MAX(K29:M29)&lt;0,0,TRUNC(MAX(K29:M29)/1)*1),"")</f>
        <v>115</v>
      </c>
      <c r="P29" s="135">
        <f>IF(N29="","",IF(O29="","",IF(SUM(N29:O29)=0,"",SUM(N29:O29))))</f>
        <v>200</v>
      </c>
      <c r="Q29" s="144">
        <f>IF(P29="","",IF(A29="","",IF(OR(C29="UK",C29="JK",C29="SK",C29="K1",C29="K2",C29="K3",C29="K4",C29="K5",C29="K6",C29="K7",C29="K8",C29="K9",C29="K10"),IF(A29&gt;148.026,P29,IF(A29&lt;28,10^(0.89726074*LOG10(28/148.026)^2)*P29,10^(0.89726074*LOG10(A29/148.026)^2)*P29)),IF(A29&gt;174.393,P29,IF(A29&lt;32,10^(0.794358141*LOG10(32/174.393)^2)*P29,10^(0.794358141*LOG10(A29/174.393)^2)*P29)))))</f>
        <v>228.59529662660006</v>
      </c>
      <c r="R29" s="145">
        <f>IF(OR(E29="",A29="",Z29="",Q29=""),"",IF(OR(C29="UM",C29="JM",C29="SM",C29="UK",C29="JK",C29="SK"),"",Q29*(IF(ABS(1900-YEAR((Z29+1)-E29))&lt;29,0,(VLOOKUP((YEAR(Z29)-YEAR(E29)),'Meltzer-Malone'!$A$3:$B$63,2))))))</f>
        <v>245.05415798371527</v>
      </c>
      <c r="S29" s="117" t="str">
        <f>IF('K1'!G27="","",'K1'!G27)</f>
        <v/>
      </c>
      <c r="T29" s="117" t="str">
        <f>IF('K1'!K27="","",'K1'!K27)</f>
        <v/>
      </c>
      <c r="U29" s="117" t="str">
        <f>IF('K1'!N27="","",'K1'!N27)</f>
        <v/>
      </c>
      <c r="V29" s="106"/>
      <c r="W29" s="175" t="str">
        <f>IF(OR(H29="",H29=0,K29="",K29=0,S29="",S29=0,T29="",T29=0,U29="",U29=0),"",SUM(H29,K29,S29,T29,U29))</f>
        <v/>
      </c>
      <c r="X29" s="118"/>
      <c r="Y29" s="119"/>
      <c r="Z29" s="146">
        <f>U5</f>
        <v>42970</v>
      </c>
    </row>
    <row r="30" spans="1:26" ht="18" customHeight="1" x14ac:dyDescent="0.15">
      <c r="A30" s="108"/>
      <c r="B30" s="109"/>
      <c r="C30" s="110"/>
      <c r="D30" s="111"/>
      <c r="E30" s="139"/>
      <c r="F30" s="139"/>
      <c r="G30" s="140" t="s">
        <v>54</v>
      </c>
      <c r="H30" s="201"/>
      <c r="I30" s="202"/>
      <c r="J30" s="203"/>
      <c r="K30" s="201"/>
      <c r="L30" s="202"/>
      <c r="M30" s="203"/>
      <c r="N30" s="110"/>
      <c r="O30" s="114"/>
      <c r="P30" s="204">
        <f>IF(Q29="","",Q29*1.2)</f>
        <v>274.31435595192005</v>
      </c>
      <c r="Q30" s="202"/>
      <c r="R30" s="143"/>
      <c r="S30" s="115" t="str">
        <f>IF(S29="","",S29*20)</f>
        <v/>
      </c>
      <c r="T30" s="115" t="str">
        <f>IF(T29="","",T29*12)</f>
        <v/>
      </c>
      <c r="U30" s="116" t="str">
        <f>IF(U29="","",IF((80+(8-ROUNDUP(U29,1))*40)&lt;0,0,80+(8-ROUNDUP(U29,1))*40))</f>
        <v/>
      </c>
      <c r="V30" s="149" t="str">
        <f>IF(SUM(S30,T30,U30)&gt;0,SUM(S30,T30,U30),"")</f>
        <v/>
      </c>
      <c r="W30" s="150" t="str">
        <f>IF(OR(P30="",S30="",T30="",U30=""),"",SUM(P30,S30,T30,U30))</f>
        <v/>
      </c>
      <c r="X30" s="151"/>
      <c r="Y30" s="152"/>
      <c r="Z30" s="146"/>
    </row>
    <row r="31" spans="1:26" ht="18" customHeight="1" x14ac:dyDescent="0.15">
      <c r="A31" s="122">
        <v>96.45</v>
      </c>
      <c r="B31" s="123" t="s">
        <v>92</v>
      </c>
      <c r="C31" s="124" t="s">
        <v>89</v>
      </c>
      <c r="D31" s="177" t="s">
        <v>66</v>
      </c>
      <c r="E31" s="124" t="s">
        <v>90</v>
      </c>
      <c r="F31" s="124"/>
      <c r="G31" s="136" t="s">
        <v>91</v>
      </c>
      <c r="H31" s="104">
        <v>-90</v>
      </c>
      <c r="I31" s="104">
        <v>-90</v>
      </c>
      <c r="J31" s="104">
        <v>-90</v>
      </c>
      <c r="K31" s="104"/>
      <c r="L31" s="104"/>
      <c r="M31" s="104"/>
      <c r="N31" s="133" t="str">
        <f>IF(MAX(H31:J31)&gt;0,IF(MAX(H31:J31)&lt;0,0,TRUNC(MAX(H31:J31)/1)*1),"")</f>
        <v/>
      </c>
      <c r="O31" s="134" t="str">
        <f>IF(MAX(K31:M31)&gt;0,IF(MAX(K31:M31)&lt;0,0,TRUNC(MAX(K31:M31)/1)*1),"")</f>
        <v/>
      </c>
      <c r="P31" s="135" t="str">
        <f>IF(N31="","",IF(O31="","",IF(SUM(N31:O31)=0,"",SUM(N31:O31))))</f>
        <v/>
      </c>
      <c r="Q31" s="144" t="str">
        <f>IF(P31="","",IF(A31="","",IF(OR(C31="UK",C31="JK",C31="SK",C31="K1",C31="K2",C31="K3",C31="K4",C31="K5",C31="K6",C31="K7",C31="K8",C31="K9",C31="K10"),IF(A31&gt;148.026,P31,IF(A31&lt;28,10^(0.89726074*LOG10(28/148.026)^2)*P31,10^(0.89726074*LOG10(A31/148.026)^2)*P31)),IF(A31&gt;174.393,P31,IF(A31&lt;32,10^(0.794358141*LOG10(32/174.393)^2)*P31,10^(0.794358141*LOG10(A31/174.393)^2)*P31)))))</f>
        <v/>
      </c>
      <c r="R31" s="145" t="str">
        <f>IF(OR(E31="",A31="",Z31="",Q31=""),"",IF(OR(C31="UM",C31="JM",C31="SM",C31="UK",C31="JK",C31="SK"),"",Q31*(IF(ABS(1900-YEAR((Z31+1)-E31))&lt;29,0,(VLOOKUP((YEAR(Z31)-YEAR(E31)),'Meltzer-Malone'!$A$3:$B$63,2))))))</f>
        <v/>
      </c>
      <c r="S31" s="117" t="str">
        <f>IF('K1'!G29="","",'K1'!G29)</f>
        <v/>
      </c>
      <c r="T31" s="117" t="str">
        <f>IF('K1'!K29="","",'K1'!K29)</f>
        <v/>
      </c>
      <c r="U31" s="117" t="str">
        <f>IF('K1'!N29="","",'K1'!N29)</f>
        <v/>
      </c>
      <c r="V31" s="106"/>
      <c r="W31" s="175" t="str">
        <f>IF(OR(H31="",H31=0,K31="",K31=0,S31="",S31=0,T31="",T31=0,U31="",U31=0),"",SUM(H31,K31,S31,T31,U31))</f>
        <v/>
      </c>
      <c r="X31" s="118"/>
      <c r="Y31" s="119"/>
      <c r="Z31" s="146">
        <f>U5</f>
        <v>42970</v>
      </c>
    </row>
    <row r="32" spans="1:26" ht="18" customHeight="1" thickBot="1" x14ac:dyDescent="0.2">
      <c r="A32" s="108"/>
      <c r="B32" s="109"/>
      <c r="C32" s="110"/>
      <c r="D32" s="111"/>
      <c r="E32" s="139"/>
      <c r="F32" s="139"/>
      <c r="G32" s="140" t="s">
        <v>54</v>
      </c>
      <c r="H32" s="198"/>
      <c r="I32" s="199"/>
      <c r="J32" s="200"/>
      <c r="K32" s="198"/>
      <c r="L32" s="199"/>
      <c r="M32" s="200"/>
      <c r="N32" s="178"/>
      <c r="O32" s="179"/>
      <c r="P32" s="205" t="str">
        <f>IF(Q31="","",Q31*1.2)</f>
        <v/>
      </c>
      <c r="Q32" s="199"/>
      <c r="R32" s="180"/>
      <c r="S32" s="120" t="str">
        <f>IF(S31="","",S31*20)</f>
        <v/>
      </c>
      <c r="T32" s="120" t="str">
        <f>IF(T31="","",T31*12)</f>
        <v/>
      </c>
      <c r="U32" s="121" t="str">
        <f>IF(U31="","",IF((80+(8-ROUNDUP(U31,1))*40)&lt;0,0,80+(8-ROUNDUP(U31,1))*40))</f>
        <v/>
      </c>
      <c r="V32" s="121" t="str">
        <f>IF(SUM(S32,T32,U32)&gt;0,SUM(S32,T32,U32),"")</f>
        <v/>
      </c>
      <c r="W32" s="172" t="str">
        <f>IF(OR(P32="",S32="",T32="",U32=""),"",SUM(P32,S32,T32,U32))</f>
        <v/>
      </c>
      <c r="X32" s="173"/>
      <c r="Y32" s="174"/>
      <c r="Z32" s="146"/>
    </row>
    <row r="33" spans="1:25" ht="14" x14ac:dyDescent="0.15">
      <c r="A33" s="24"/>
      <c r="B33" s="24"/>
      <c r="C33" s="24"/>
      <c r="D33" s="25"/>
      <c r="E33" s="26"/>
      <c r="F33" s="26"/>
      <c r="G33" s="27"/>
      <c r="H33" s="28"/>
      <c r="I33" s="28"/>
      <c r="J33" s="28"/>
      <c r="K33" s="28"/>
      <c r="L33" s="28"/>
      <c r="M33" s="28"/>
      <c r="N33" s="24"/>
      <c r="O33" s="24"/>
      <c r="P33" s="24"/>
      <c r="Q33" s="24"/>
      <c r="R33" s="24"/>
      <c r="S33" s="28"/>
      <c r="T33" s="28"/>
      <c r="U33" s="29"/>
      <c r="V33" s="29"/>
      <c r="W33" s="30"/>
      <c r="X33" s="31"/>
      <c r="Y33" s="32"/>
    </row>
    <row r="34" spans="1:25" s="6" customFormat="1" ht="14" x14ac:dyDescent="0.15">
      <c r="A34" s="6" t="s">
        <v>12</v>
      </c>
      <c r="B34"/>
      <c r="C34" s="189" t="s">
        <v>93</v>
      </c>
      <c r="D34" s="190"/>
      <c r="E34" s="190"/>
      <c r="F34" s="190"/>
      <c r="G34" s="190"/>
      <c r="H34" s="196" t="s">
        <v>13</v>
      </c>
      <c r="I34" s="196"/>
      <c r="J34" s="92">
        <v>1</v>
      </c>
      <c r="K34" s="189" t="s">
        <v>98</v>
      </c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</row>
    <row r="35" spans="1:25" s="6" customFormat="1" ht="14" x14ac:dyDescent="0.15">
      <c r="B35"/>
      <c r="C35" s="195"/>
      <c r="D35" s="195"/>
      <c r="E35" s="195"/>
      <c r="F35" s="195"/>
      <c r="G35" s="195"/>
      <c r="H35" s="196"/>
      <c r="I35" s="196"/>
      <c r="J35" s="94">
        <v>2</v>
      </c>
      <c r="K35" s="189" t="s">
        <v>96</v>
      </c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</row>
    <row r="36" spans="1:25" s="6" customFormat="1" ht="14" x14ac:dyDescent="0.15">
      <c r="A36" s="33" t="s">
        <v>40</v>
      </c>
      <c r="B36"/>
      <c r="C36" s="190"/>
      <c r="D36" s="190"/>
      <c r="E36" s="190"/>
      <c r="F36" s="190"/>
      <c r="G36" s="190"/>
      <c r="H36" s="197"/>
      <c r="I36" s="197"/>
      <c r="J36" s="92">
        <v>3</v>
      </c>
      <c r="K36" s="189" t="s">
        <v>97</v>
      </c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</row>
    <row r="37" spans="1:25" s="4" customFormat="1" ht="14" x14ac:dyDescent="0.15">
      <c r="A37" s="5"/>
      <c r="B37"/>
      <c r="C37" s="190"/>
      <c r="D37" s="190"/>
      <c r="E37" s="190"/>
      <c r="F37" s="190"/>
      <c r="G37" s="190"/>
      <c r="H37" s="10"/>
      <c r="I37" s="8"/>
      <c r="J37" s="95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</row>
    <row r="38" spans="1:25" s="4" customFormat="1" ht="14" x14ac:dyDescent="0.15">
      <c r="A38" s="6"/>
      <c r="B38"/>
      <c r="C38" s="190"/>
      <c r="D38" s="190"/>
      <c r="E38" s="190"/>
      <c r="F38" s="190"/>
      <c r="G38" s="190"/>
      <c r="H38" s="96" t="s">
        <v>41</v>
      </c>
      <c r="I38" s="93"/>
      <c r="J38" s="16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</row>
    <row r="39" spans="1:25" s="4" customFormat="1" ht="14" x14ac:dyDescent="0.15">
      <c r="A39" s="1"/>
      <c r="B39" s="1"/>
      <c r="C39" s="8"/>
      <c r="D39" s="9"/>
      <c r="E39" s="9"/>
      <c r="F39" s="9"/>
      <c r="G39" s="10"/>
      <c r="H39" s="96" t="s">
        <v>42</v>
      </c>
      <c r="I39" s="93"/>
      <c r="J39" s="17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</row>
    <row r="40" spans="1:25" s="4" customFormat="1" ht="14" x14ac:dyDescent="0.15">
      <c r="A40" s="6" t="s">
        <v>14</v>
      </c>
      <c r="B40"/>
      <c r="C40" s="191" t="s">
        <v>56</v>
      </c>
      <c r="D40" s="192"/>
      <c r="E40" s="192"/>
      <c r="F40" s="192"/>
      <c r="G40" s="192"/>
      <c r="H40" s="96" t="s">
        <v>43</v>
      </c>
      <c r="I40" s="93"/>
      <c r="J40" s="97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</row>
    <row r="41" spans="1:25" s="4" customFormat="1" ht="14" x14ac:dyDescent="0.15">
      <c r="A41" s="1"/>
      <c r="B41" s="1"/>
      <c r="C41" s="193"/>
      <c r="D41" s="194"/>
      <c r="E41" s="194"/>
      <c r="F41" s="194"/>
      <c r="G41" s="194"/>
      <c r="H41" s="96"/>
      <c r="I41" s="7"/>
      <c r="J41" s="98"/>
      <c r="K41" s="1"/>
      <c r="L41" s="1"/>
      <c r="M41" s="1"/>
      <c r="N41" s="1"/>
      <c r="O41" s="1"/>
      <c r="P41" s="1"/>
      <c r="Q41" s="1"/>
      <c r="R41" s="1"/>
      <c r="S41" s="15"/>
      <c r="T41" s="15"/>
      <c r="U41" s="15"/>
      <c r="V41" s="15"/>
    </row>
    <row r="42" spans="1:25" s="4" customFormat="1" ht="14" x14ac:dyDescent="0.15">
      <c r="A42" s="99" t="s">
        <v>44</v>
      </c>
      <c r="B42" s="100"/>
      <c r="C42" s="189" t="s">
        <v>93</v>
      </c>
      <c r="D42" s="190"/>
      <c r="E42" s="190"/>
      <c r="F42" s="190"/>
      <c r="G42" s="190"/>
      <c r="H42" s="96" t="s">
        <v>17</v>
      </c>
      <c r="I42" s="93"/>
      <c r="J42" s="16"/>
      <c r="K42" s="189" t="s">
        <v>100</v>
      </c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</row>
    <row r="43" spans="1:25" s="4" customFormat="1" ht="14" x14ac:dyDescent="0.15">
      <c r="A43" s="1"/>
      <c r="B43" s="1"/>
      <c r="C43" s="190"/>
      <c r="D43" s="190"/>
      <c r="E43" s="190"/>
      <c r="F43" s="190"/>
      <c r="G43" s="190"/>
      <c r="H43" s="96"/>
      <c r="I43" s="93"/>
      <c r="J43" s="98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</row>
    <row r="44" spans="1:25" s="4" customFormat="1" ht="14" x14ac:dyDescent="0.15">
      <c r="A44" s="100" t="s">
        <v>16</v>
      </c>
      <c r="B44" s="100"/>
      <c r="C44" s="11" t="s">
        <v>49</v>
      </c>
      <c r="D44" s="12"/>
      <c r="E44" s="12"/>
      <c r="F44" s="12"/>
      <c r="G44" s="13"/>
      <c r="I44" s="93"/>
      <c r="J44" s="97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</row>
    <row r="45" spans="1:25" s="4" customFormat="1" ht="14" x14ac:dyDescent="0.15">
      <c r="A45" s="101"/>
      <c r="B45" s="101"/>
      <c r="C45" s="102"/>
      <c r="D45" s="9"/>
      <c r="E45" s="9"/>
      <c r="F45" s="9"/>
      <c r="G45" s="10"/>
      <c r="I45" s="93"/>
      <c r="J45" s="97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</row>
    <row r="46" spans="1:25" s="4" customFormat="1" ht="14" x14ac:dyDescent="0.15">
      <c r="A46" s="1"/>
      <c r="B46" s="1"/>
      <c r="C46" s="2"/>
      <c r="D46" s="3"/>
      <c r="E46" s="3"/>
      <c r="F46" s="3"/>
      <c r="I46" s="93"/>
      <c r="J46" s="97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</row>
    <row r="47" spans="1:25" x14ac:dyDescent="0.15">
      <c r="A47" s="14"/>
      <c r="B47" s="14"/>
      <c r="C47" s="14"/>
      <c r="D47" s="14"/>
      <c r="E47" s="14"/>
      <c r="F47" s="14"/>
      <c r="H47" s="14"/>
      <c r="I47" s="14"/>
      <c r="J47" s="3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x14ac:dyDescent="0.15">
      <c r="J48" s="35"/>
    </row>
    <row r="49" spans="10:10" x14ac:dyDescent="0.15">
      <c r="J49" s="35"/>
    </row>
    <row r="50" spans="10:10" x14ac:dyDescent="0.15">
      <c r="J50" s="35"/>
    </row>
    <row r="51" spans="10:10" x14ac:dyDescent="0.15">
      <c r="J51" s="35"/>
    </row>
    <row r="52" spans="10:10" x14ac:dyDescent="0.15">
      <c r="J52" s="35"/>
    </row>
    <row r="53" spans="10:10" x14ac:dyDescent="0.15">
      <c r="J53" s="35"/>
    </row>
    <row r="54" spans="10:10" x14ac:dyDescent="0.15">
      <c r="J54" s="35"/>
    </row>
    <row r="55" spans="10:10" x14ac:dyDescent="0.15">
      <c r="J55" s="35"/>
    </row>
  </sheetData>
  <mergeCells count="73">
    <mergeCell ref="G2:Q2"/>
    <mergeCell ref="G3:Q3"/>
    <mergeCell ref="H12:J12"/>
    <mergeCell ref="K12:M12"/>
    <mergeCell ref="H10:J10"/>
    <mergeCell ref="K10:M10"/>
    <mergeCell ref="H7:J7"/>
    <mergeCell ref="K7:M7"/>
    <mergeCell ref="P10:Q10"/>
    <mergeCell ref="N7:Q7"/>
    <mergeCell ref="H8:J8"/>
    <mergeCell ref="K8:M8"/>
    <mergeCell ref="P12:Q12"/>
    <mergeCell ref="P26:Q26"/>
    <mergeCell ref="P24:Q24"/>
    <mergeCell ref="H26:J26"/>
    <mergeCell ref="K26:M26"/>
    <mergeCell ref="K18:M18"/>
    <mergeCell ref="K20:M20"/>
    <mergeCell ref="H20:J20"/>
    <mergeCell ref="P20:Q20"/>
    <mergeCell ref="P18:Q18"/>
    <mergeCell ref="P22:Q22"/>
    <mergeCell ref="H24:J24"/>
    <mergeCell ref="K24:M24"/>
    <mergeCell ref="H22:J22"/>
    <mergeCell ref="K22:M22"/>
    <mergeCell ref="A5:B5"/>
    <mergeCell ref="H5:I5"/>
    <mergeCell ref="C5:G5"/>
    <mergeCell ref="J5:N5"/>
    <mergeCell ref="P5:S5"/>
    <mergeCell ref="P16:Q16"/>
    <mergeCell ref="P14:Q14"/>
    <mergeCell ref="H18:J18"/>
    <mergeCell ref="H16:J16"/>
    <mergeCell ref="H14:J14"/>
    <mergeCell ref="K14:M14"/>
    <mergeCell ref="K16:M16"/>
    <mergeCell ref="H34:I34"/>
    <mergeCell ref="K32:M32"/>
    <mergeCell ref="K30:M30"/>
    <mergeCell ref="K34:Y34"/>
    <mergeCell ref="P28:Q28"/>
    <mergeCell ref="P32:Q32"/>
    <mergeCell ref="P30:Q30"/>
    <mergeCell ref="H30:J30"/>
    <mergeCell ref="H28:J28"/>
    <mergeCell ref="K28:M28"/>
    <mergeCell ref="H32:J32"/>
    <mergeCell ref="C35:G35"/>
    <mergeCell ref="K39:Y39"/>
    <mergeCell ref="K43:Y43"/>
    <mergeCell ref="K40:Y40"/>
    <mergeCell ref="K42:Y42"/>
    <mergeCell ref="H35:I35"/>
    <mergeCell ref="H36:I36"/>
    <mergeCell ref="U5:V5"/>
    <mergeCell ref="K44:Y44"/>
    <mergeCell ref="K45:Y45"/>
    <mergeCell ref="K46:Y46"/>
    <mergeCell ref="C42:G42"/>
    <mergeCell ref="C43:G43"/>
    <mergeCell ref="K35:Y35"/>
    <mergeCell ref="K36:Y36"/>
    <mergeCell ref="K37:Y37"/>
    <mergeCell ref="K38:Y38"/>
    <mergeCell ref="C34:G34"/>
    <mergeCell ref="C36:G36"/>
    <mergeCell ref="C37:G37"/>
    <mergeCell ref="C38:G38"/>
    <mergeCell ref="C40:G40"/>
    <mergeCell ref="C41:G41"/>
  </mergeCells>
  <phoneticPr fontId="0" type="noConversion"/>
  <conditionalFormatting sqref="H27:M27 H31:M31 H25:M25 H29:M29">
    <cfRule type="cellIs" dxfId="19" priority="25" stopIfTrue="1" operator="between">
      <formula>1</formula>
      <formula>300</formula>
    </cfRule>
    <cfRule type="cellIs" dxfId="18" priority="26" stopIfTrue="1" operator="lessThanOrEqual">
      <formula>0</formula>
    </cfRule>
  </conditionalFormatting>
  <conditionalFormatting sqref="H11:M11">
    <cfRule type="cellIs" dxfId="17" priority="5" stopIfTrue="1" operator="between">
      <formula>1</formula>
      <formula>300</formula>
    </cfRule>
    <cfRule type="cellIs" dxfId="16" priority="6" stopIfTrue="1" operator="lessThanOrEqual">
      <formula>0</formula>
    </cfRule>
  </conditionalFormatting>
  <conditionalFormatting sqref="H21:M21">
    <cfRule type="cellIs" dxfId="15" priority="3" stopIfTrue="1" operator="between">
      <formula>1</formula>
      <formula>300</formula>
    </cfRule>
    <cfRule type="cellIs" dxfId="14" priority="4" stopIfTrue="1" operator="lessThanOrEqual">
      <formula>0</formula>
    </cfRule>
  </conditionalFormatting>
  <conditionalFormatting sqref="H23:M23">
    <cfRule type="cellIs" dxfId="13" priority="17" stopIfTrue="1" operator="between">
      <formula>1</formula>
      <formula>300</formula>
    </cfRule>
    <cfRule type="cellIs" dxfId="12" priority="18" stopIfTrue="1" operator="lessThanOrEqual">
      <formula>0</formula>
    </cfRule>
  </conditionalFormatting>
  <conditionalFormatting sqref="H15:M15">
    <cfRule type="cellIs" dxfId="11" priority="15" stopIfTrue="1" operator="between">
      <formula>1</formula>
      <formula>300</formula>
    </cfRule>
    <cfRule type="cellIs" dxfId="10" priority="16" stopIfTrue="1" operator="lessThanOrEqual">
      <formula>0</formula>
    </cfRule>
  </conditionalFormatting>
  <conditionalFormatting sqref="H19:M19">
    <cfRule type="cellIs" dxfId="9" priority="13" stopIfTrue="1" operator="between">
      <formula>1</formula>
      <formula>300</formula>
    </cfRule>
    <cfRule type="cellIs" dxfId="8" priority="14" stopIfTrue="1" operator="lessThanOrEqual">
      <formula>0</formula>
    </cfRule>
  </conditionalFormatting>
  <conditionalFormatting sqref="H17:M17">
    <cfRule type="cellIs" dxfId="7" priority="11" stopIfTrue="1" operator="between">
      <formula>1</formula>
      <formula>300</formula>
    </cfRule>
    <cfRule type="cellIs" dxfId="6" priority="12" stopIfTrue="1" operator="lessThanOrEqual">
      <formula>0</formula>
    </cfRule>
  </conditionalFormatting>
  <conditionalFormatting sqref="H13:M13">
    <cfRule type="cellIs" dxfId="5" priority="9" stopIfTrue="1" operator="between">
      <formula>1</formula>
      <formula>300</formula>
    </cfRule>
    <cfRule type="cellIs" dxfId="4" priority="10" stopIfTrue="1" operator="lessThanOrEqual">
      <formula>0</formula>
    </cfRule>
  </conditionalFormatting>
  <conditionalFormatting sqref="L9:M9">
    <cfRule type="cellIs" dxfId="3" priority="7" stopIfTrue="1" operator="between">
      <formula>1</formula>
      <formula>300</formula>
    </cfRule>
    <cfRule type="cellIs" dxfId="2" priority="8" stopIfTrue="1" operator="lessThanOrEqual">
      <formula>0</formula>
    </cfRule>
  </conditionalFormatting>
  <conditionalFormatting sqref="H9:K9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5">
    <dataValidation type="list" allowBlank="1" showInputMessage="1" showErrorMessage="1" errorTitle="Feil_i_vektklasse" error="Feil verdi i vektklasse" sqref="B31 B11 B13 B15 B17 B19 B21 B23 B25 B27 B29 B9">
      <formula1>"44,48,53,58,63,69,+69,'+69,69+,75,+75,'+75,75,50,56,62,69,77,85,94,+94,'+94,94+,105,+105,'+105,105+"</formula1>
    </dataValidation>
    <dataValidation type="list" allowBlank="1" showInputMessage="1" showErrorMessage="1" errorTitle="Feil_i_kat.v.løft" error="Feeil verdi i kategori vektløfting" sqref="C31 C11 C13 C15 C17 C19 C21 C23 C25 C27 C29">
      <formula1>"UM,JM,SM,UK,JK,SK,M1,M2,M3,M4,M5,M6,M8,M9,M10,K1,K2,K3,K4,K5,K6,K7,K8,K9,K10"</formula1>
    </dataValidation>
    <dataValidation type="list" allowBlank="1" showInputMessage="1" showErrorMessage="1" errorTitle="Feil_i kat_5-kamp" error="Feil verdi i kategori 5-kamp" sqref="D31 D11 D13 D15 D17 D19 D21 D23 D25 D27 D29">
      <formula1>"11-12,13-14,15-16,17-18,+18,'+18,18+"</formula1>
    </dataValidation>
    <dataValidation type="list" allowBlank="1" showInputMessage="1" showErrorMessage="1" errorTitle="Feil _i_kat.v.løft" error="Feil verdi i kategori vektløfting" sqref="C9">
      <formula1>"UM,JM,SM,UK,JK,SK,M1,M2,M3,M4,M5,M6,M8,M9,M10,K1,K2,K3,K4,K5,K6,K7,K8,K9,K10"</formula1>
    </dataValidation>
    <dataValidation type="list" allowBlank="1" showInputMessage="1" showErrorMessage="1" errorTitle="Feil_i_kat.5-kamp" error="Feil verdi i kategori 5-kamp" sqref="D9">
      <formula1>"11-12,13-14,15-16,17-18,+18,'+18,18+"</formula1>
    </dataValidation>
  </dataValidations>
  <pageMargins left="0.27559055118110237" right="0.27559055118110237" top="0.27559055118110237" bottom="0.27559055118110237" header="0.51181102362204722" footer="0.51181102362204722"/>
  <pageSetup paperSize="9" scale="67" orientation="landscape" horizontalDpi="300" verticalDpi="300" copies="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P31"/>
  <sheetViews>
    <sheetView showGridLines="0" showRowColHeaders="0" showZeros="0" topLeftCell="A7" zoomScale="120" zoomScaleNormal="120" zoomScalePageLayoutView="120" workbookViewId="0">
      <selection activeCell="N25" sqref="N25"/>
    </sheetView>
  </sheetViews>
  <sheetFormatPr baseColWidth="10" defaultColWidth="8.796875" defaultRowHeight="13" x14ac:dyDescent="0.15"/>
  <cols>
    <col min="1" max="1" width="5.59765625" customWidth="1"/>
    <col min="2" max="2" width="7.59765625" customWidth="1"/>
    <col min="3" max="3" width="27.59765625" customWidth="1"/>
    <col min="4" max="14" width="7.3984375" customWidth="1"/>
    <col min="15" max="15" width="9.3984375" customWidth="1"/>
    <col min="16" max="16" width="4.59765625" style="14" customWidth="1"/>
  </cols>
  <sheetData>
    <row r="1" spans="1:16" ht="23" x14ac:dyDescent="0.25">
      <c r="A1" s="228" t="s">
        <v>47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37"/>
      <c r="P1" s="37"/>
    </row>
    <row r="2" spans="1:16" ht="15" customHeight="1" x14ac:dyDescent="0.25">
      <c r="B2" s="38" t="s">
        <v>37</v>
      </c>
      <c r="C2" s="230" t="str">
        <f>IF('P1'!C5&gt;0,'P1'!C5,"")</f>
        <v>Seriestevne 5-kamp</v>
      </c>
      <c r="D2" s="230"/>
      <c r="E2" s="230"/>
      <c r="F2" s="230"/>
      <c r="G2" s="230"/>
      <c r="H2" s="39"/>
      <c r="I2" s="39"/>
      <c r="J2" s="39"/>
      <c r="K2" s="39"/>
      <c r="L2" s="39"/>
      <c r="M2" s="39"/>
      <c r="N2" s="39"/>
      <c r="O2" s="39"/>
      <c r="P2" s="39"/>
    </row>
    <row r="3" spans="1:16" ht="16" x14ac:dyDescent="0.2">
      <c r="A3" s="229" t="s">
        <v>0</v>
      </c>
      <c r="B3" s="229"/>
      <c r="C3" s="230" t="str">
        <f>IF('P1'!J5&gt;0,'P1'!J5,"")</f>
        <v>AK Bjørgvin</v>
      </c>
      <c r="D3" s="230"/>
      <c r="E3" s="40" t="s">
        <v>1</v>
      </c>
      <c r="F3" s="231" t="str">
        <f>IF('P1'!P5&gt;0,'P1'!P5,"")</f>
        <v>Bergenshallen</v>
      </c>
      <c r="G3" s="232"/>
      <c r="H3" s="232"/>
      <c r="I3" s="232"/>
      <c r="J3" s="176" t="s">
        <v>2</v>
      </c>
      <c r="K3" s="233">
        <f>IF('P1'!U5&gt;0,'P1'!U5,"")</f>
        <v>42970</v>
      </c>
      <c r="L3" s="233"/>
      <c r="M3" s="41" t="s">
        <v>18</v>
      </c>
      <c r="N3" s="91">
        <v>1</v>
      </c>
      <c r="O3" s="90"/>
      <c r="P3" s="42"/>
    </row>
    <row r="4" spans="1:16" ht="15" thickBot="1" x14ac:dyDescent="0.2">
      <c r="B4" s="224" t="s">
        <v>52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41"/>
      <c r="P4" s="42"/>
    </row>
    <row r="5" spans="1:16" s="43" customFormat="1" ht="14" x14ac:dyDescent="0.15">
      <c r="B5" s="44" t="s">
        <v>21</v>
      </c>
      <c r="C5" s="45" t="s">
        <v>6</v>
      </c>
      <c r="D5" s="225" t="s">
        <v>24</v>
      </c>
      <c r="E5" s="225"/>
      <c r="F5" s="225"/>
      <c r="G5" s="225"/>
      <c r="H5" s="226" t="s">
        <v>25</v>
      </c>
      <c r="I5" s="226"/>
      <c r="J5" s="226"/>
      <c r="K5" s="226"/>
      <c r="L5" s="227" t="s">
        <v>38</v>
      </c>
      <c r="M5" s="227"/>
      <c r="N5" s="227"/>
      <c r="O5" s="46"/>
      <c r="P5" s="47"/>
    </row>
    <row r="6" spans="1:16" ht="14" thickBot="1" x14ac:dyDescent="0.2">
      <c r="B6" s="48" t="s">
        <v>27</v>
      </c>
      <c r="C6" s="49" t="s">
        <v>33</v>
      </c>
      <c r="D6" s="50">
        <v>1</v>
      </c>
      <c r="E6" s="50">
        <v>2</v>
      </c>
      <c r="F6" s="51">
        <v>3</v>
      </c>
      <c r="G6" s="52" t="s">
        <v>39</v>
      </c>
      <c r="H6" s="53">
        <v>1</v>
      </c>
      <c r="I6" s="50">
        <v>2</v>
      </c>
      <c r="J6" s="51">
        <v>3</v>
      </c>
      <c r="K6" s="52" t="s">
        <v>39</v>
      </c>
      <c r="L6" s="53">
        <v>1</v>
      </c>
      <c r="M6" s="51">
        <v>2</v>
      </c>
      <c r="N6" s="54" t="s">
        <v>39</v>
      </c>
      <c r="O6" s="55"/>
      <c r="P6" s="56"/>
    </row>
    <row r="7" spans="1:16" ht="18" customHeight="1" x14ac:dyDescent="0.15">
      <c r="B7" s="57" t="str">
        <f>IF('P1'!D9="","",'P1'!D9)</f>
        <v>15-16</v>
      </c>
      <c r="C7" s="87" t="str">
        <f>IF('P1'!G9="","",'P1'!G9)</f>
        <v>Hedda Hauge Aasgård</v>
      </c>
      <c r="D7" s="77">
        <v>6</v>
      </c>
      <c r="E7" s="77">
        <v>5.72</v>
      </c>
      <c r="F7" s="78">
        <v>6.35</v>
      </c>
      <c r="G7" s="58">
        <f>IF(MAX(D7,E7,F7)&gt;0,MAX(D7,E7,F7),"")</f>
        <v>6.35</v>
      </c>
      <c r="H7" s="81">
        <v>12</v>
      </c>
      <c r="I7" s="77">
        <v>12.4</v>
      </c>
      <c r="J7" s="77">
        <v>12.2</v>
      </c>
      <c r="K7" s="58">
        <f>IF(MAX(H7,I7,J7)&gt;0,MAX(H7,I7,J7),"")</f>
        <v>12.4</v>
      </c>
      <c r="L7" s="83">
        <v>7.35</v>
      </c>
      <c r="M7" s="78">
        <v>7.42</v>
      </c>
      <c r="N7" s="58">
        <f>IF(MIN(L7,M7)&gt;0,MIN(L7,M7),"")</f>
        <v>7.35</v>
      </c>
      <c r="O7" s="59"/>
      <c r="P7" s="60"/>
    </row>
    <row r="8" spans="1:16" ht="18" customHeight="1" x14ac:dyDescent="0.15">
      <c r="B8" s="61"/>
      <c r="C8" s="88" t="str">
        <f>IF('P1'!G10="","",'P1'!G10)</f>
        <v>AK Bjørgvin</v>
      </c>
      <c r="D8" s="69"/>
      <c r="E8" s="69"/>
      <c r="F8" s="70"/>
      <c r="G8" s="62"/>
      <c r="H8" s="72"/>
      <c r="I8" s="69"/>
      <c r="J8" s="70"/>
      <c r="K8" s="63"/>
      <c r="L8" s="72"/>
      <c r="M8" s="70"/>
      <c r="N8" s="64"/>
      <c r="O8" s="65" t="str">
        <f>IF(SUM(L8:N8)&gt;0,SUM(L8:N8),"")</f>
        <v/>
      </c>
      <c r="P8" s="36"/>
    </row>
    <row r="9" spans="1:16" ht="18" customHeight="1" x14ac:dyDescent="0.15">
      <c r="B9" s="66" t="str">
        <f>IF('P1'!D11="","",'P1'!D11)</f>
        <v>15-16</v>
      </c>
      <c r="C9" s="89" t="str">
        <f>IF('P1'!G11="","",'P1'!G11)</f>
        <v>Oda Marie Myklebust</v>
      </c>
      <c r="D9" s="79">
        <v>5.62</v>
      </c>
      <c r="E9" s="79">
        <v>5.96</v>
      </c>
      <c r="F9" s="80">
        <v>6.1</v>
      </c>
      <c r="G9" s="67">
        <f>IF(MAX(D9,E9,F9)&gt;0,MAX(D9,E9,F9),"")</f>
        <v>6.1</v>
      </c>
      <c r="H9" s="82">
        <v>11.55</v>
      </c>
      <c r="I9" s="79">
        <v>11.45</v>
      </c>
      <c r="J9" s="79">
        <v>11.85</v>
      </c>
      <c r="K9" s="68">
        <f>IF(MAX(H9,I9,J9)&gt;0,MAX(H9,I9,J9),"")</f>
        <v>11.85</v>
      </c>
      <c r="L9" s="84">
        <v>7.85</v>
      </c>
      <c r="M9" s="80">
        <v>7.92</v>
      </c>
      <c r="N9" s="68">
        <f>IF(MIN(L9,M9)&gt;0,MIN(L9,M9),"")</f>
        <v>7.85</v>
      </c>
      <c r="O9" s="59"/>
      <c r="P9" s="60"/>
    </row>
    <row r="10" spans="1:16" ht="18" customHeight="1" x14ac:dyDescent="0.15">
      <c r="B10" s="61"/>
      <c r="C10" s="88" t="str">
        <f>IF('P1'!G12="","",'P1'!G12)</f>
        <v>AK Bjørgvin</v>
      </c>
      <c r="D10" s="69"/>
      <c r="E10" s="69"/>
      <c r="F10" s="70"/>
      <c r="G10" s="62"/>
      <c r="H10" s="72"/>
      <c r="I10" s="69"/>
      <c r="J10" s="70"/>
      <c r="K10" s="63"/>
      <c r="L10" s="72"/>
      <c r="M10" s="70"/>
      <c r="N10" s="64"/>
      <c r="O10" s="65" t="str">
        <f>IF(SUM(L10:N10)&gt;0,SUM(L10:N10),"")</f>
        <v/>
      </c>
      <c r="P10" s="36"/>
    </row>
    <row r="11" spans="1:16" ht="18" customHeight="1" x14ac:dyDescent="0.15">
      <c r="B11" s="66" t="str">
        <f>IF('P1'!D13="","",'P1'!D13)</f>
        <v>+18</v>
      </c>
      <c r="C11" s="89" t="str">
        <f>IF('P1'!G13="","",'P1'!G13)</f>
        <v>Malin Alise Forberg</v>
      </c>
      <c r="D11" s="79">
        <v>5.4</v>
      </c>
      <c r="E11" s="79">
        <v>5.52</v>
      </c>
      <c r="F11" s="80">
        <v>5.53</v>
      </c>
      <c r="G11" s="67">
        <f>IF(MAX(D11,E11,F11)&gt;0,MAX(D11,E11,F11),"")</f>
        <v>5.53</v>
      </c>
      <c r="H11" s="82">
        <v>6.8</v>
      </c>
      <c r="I11" s="79">
        <v>6.45</v>
      </c>
      <c r="J11" s="79">
        <v>6</v>
      </c>
      <c r="K11" s="68">
        <f>IF(MAX(H11,I11,J11)&gt;0,MAX(H11,I11,J11),"")</f>
        <v>6.8</v>
      </c>
      <c r="L11" s="84">
        <v>7.91</v>
      </c>
      <c r="M11" s="80">
        <v>7.75</v>
      </c>
      <c r="N11" s="68">
        <f>IF(MIN(L11,M11)&gt;0,MIN(L11,M11),"")</f>
        <v>7.75</v>
      </c>
      <c r="O11" s="59"/>
      <c r="P11" s="60"/>
    </row>
    <row r="12" spans="1:16" ht="18" customHeight="1" x14ac:dyDescent="0.15">
      <c r="B12" s="61"/>
      <c r="C12" s="88" t="str">
        <f>IF('P1'!G14="","",'P1'!G14)</f>
        <v>AK Bjørgvin</v>
      </c>
      <c r="D12" s="69"/>
      <c r="E12" s="69"/>
      <c r="F12" s="70"/>
      <c r="G12" s="62"/>
      <c r="H12" s="72"/>
      <c r="I12" s="69"/>
      <c r="J12" s="70"/>
      <c r="K12" s="63"/>
      <c r="L12" s="72"/>
      <c r="M12" s="70"/>
      <c r="N12" s="64"/>
      <c r="O12" s="65" t="str">
        <f>IF(SUM(L12:N12)&gt;0,SUM(L12:N12),"")</f>
        <v/>
      </c>
      <c r="P12" s="36"/>
    </row>
    <row r="13" spans="1:16" ht="18" customHeight="1" x14ac:dyDescent="0.15">
      <c r="B13" s="66" t="str">
        <f>IF('P1'!D15="","",'P1'!D15)</f>
        <v>+18</v>
      </c>
      <c r="C13" s="89" t="str">
        <f>IF('P1'!G15="","",'P1'!G15)</f>
        <v>Tonje Boge</v>
      </c>
      <c r="D13" s="79"/>
      <c r="E13" s="79"/>
      <c r="F13" s="80"/>
      <c r="G13" s="67" t="str">
        <f>IF(MAX(D13,E13,F13)&gt;0,MAX(D13,E13,F13),"")</f>
        <v/>
      </c>
      <c r="H13" s="82"/>
      <c r="I13" s="79"/>
      <c r="J13" s="79"/>
      <c r="K13" s="68" t="str">
        <f>IF(MAX(H13,I13,J13)&gt;0,MAX(H13,I13,J13),"")</f>
        <v/>
      </c>
      <c r="L13" s="84"/>
      <c r="M13" s="80"/>
      <c r="N13" s="68" t="str">
        <f>IF(MIN(L13,M13)&gt;0,MIN(L13,M13),"")</f>
        <v/>
      </c>
      <c r="O13" s="59"/>
      <c r="P13" s="60"/>
    </row>
    <row r="14" spans="1:16" ht="18" customHeight="1" x14ac:dyDescent="0.15">
      <c r="B14" s="61"/>
      <c r="C14" s="88" t="str">
        <f>IF('P1'!G16="","",'P1'!G16)</f>
        <v>AK Bjørgvin</v>
      </c>
      <c r="D14" s="69"/>
      <c r="E14" s="69"/>
      <c r="F14" s="70"/>
      <c r="G14" s="62"/>
      <c r="H14" s="72"/>
      <c r="I14" s="69"/>
      <c r="J14" s="70"/>
      <c r="K14" s="63"/>
      <c r="L14" s="72"/>
      <c r="M14" s="70"/>
      <c r="N14" s="64"/>
      <c r="O14" s="65" t="str">
        <f>IF(SUM(L14:N14)&gt;0,SUM(L14:N14),"")</f>
        <v/>
      </c>
      <c r="P14" s="36"/>
    </row>
    <row r="15" spans="1:16" ht="18" customHeight="1" x14ac:dyDescent="0.15">
      <c r="B15" s="66" t="str">
        <f>IF('P1'!D17="","",'P1'!D17)</f>
        <v>+18</v>
      </c>
      <c r="C15" s="89" t="str">
        <f>IF('P1'!G17="","",'P1'!G17)</f>
        <v>Venke Bergum</v>
      </c>
      <c r="D15" s="79"/>
      <c r="E15" s="79"/>
      <c r="F15" s="80"/>
      <c r="G15" s="67" t="str">
        <f>IF(MAX(D15,E15,F15)&gt;0,MAX(D15,E15,F15),"")</f>
        <v/>
      </c>
      <c r="H15" s="82"/>
      <c r="I15" s="79"/>
      <c r="J15" s="79"/>
      <c r="K15" s="68" t="str">
        <f>IF(MAX(H15,I15,J15)&gt;0,MAX(H15,I15,J15),"")</f>
        <v/>
      </c>
      <c r="L15" s="84"/>
      <c r="M15" s="80"/>
      <c r="N15" s="68" t="str">
        <f>IF(MIN(L15,M15)&gt;0,MIN(L15,M15),"")</f>
        <v/>
      </c>
      <c r="O15" s="59"/>
      <c r="P15" s="60"/>
    </row>
    <row r="16" spans="1:16" ht="18" customHeight="1" x14ac:dyDescent="0.15">
      <c r="B16" s="61"/>
      <c r="C16" s="88" t="str">
        <f>IF('P1'!G18="","",'P1'!G18)</f>
        <v>AK Bjørgvin</v>
      </c>
      <c r="D16" s="69"/>
      <c r="E16" s="69"/>
      <c r="F16" s="70"/>
      <c r="G16" s="62"/>
      <c r="H16" s="72"/>
      <c r="I16" s="69"/>
      <c r="J16" s="70"/>
      <c r="K16" s="63"/>
      <c r="L16" s="72"/>
      <c r="M16" s="70"/>
      <c r="N16" s="64"/>
      <c r="O16" s="65" t="str">
        <f>IF(SUM(L16:N16)&gt;0,SUM(L16:N16),"")</f>
        <v/>
      </c>
      <c r="P16" s="36"/>
    </row>
    <row r="17" spans="2:16" ht="18" customHeight="1" x14ac:dyDescent="0.15">
      <c r="B17" s="66" t="str">
        <f>IF('P1'!D19="","",'P1'!D19)</f>
        <v>+18</v>
      </c>
      <c r="C17" s="89" t="str">
        <f>IF('P1'!G19="","",'P1'!G19)</f>
        <v>Ingborg Endresen</v>
      </c>
      <c r="D17" s="79"/>
      <c r="E17" s="79"/>
      <c r="F17" s="80"/>
      <c r="G17" s="67" t="str">
        <f>IF(MAX(D17,E17,F17)&gt;0,MAX(D17,E17,F17),"")</f>
        <v/>
      </c>
      <c r="H17" s="82"/>
      <c r="I17" s="79"/>
      <c r="J17" s="79"/>
      <c r="K17" s="68" t="str">
        <f>IF(MAX(H17,I17,J17)&gt;0,MAX(H17,I17,J17),"")</f>
        <v/>
      </c>
      <c r="L17" s="84"/>
      <c r="M17" s="80"/>
      <c r="N17" s="68" t="str">
        <f>IF(MIN(L17,M17)&gt;0,MIN(L17,M17),"")</f>
        <v/>
      </c>
      <c r="O17" s="59"/>
      <c r="P17" s="60"/>
    </row>
    <row r="18" spans="2:16" ht="18" customHeight="1" x14ac:dyDescent="0.15">
      <c r="B18" s="61"/>
      <c r="C18" s="88" t="str">
        <f>IF('P1'!G20="","",'P1'!G20)</f>
        <v>AK Bjørgvin</v>
      </c>
      <c r="D18" s="69"/>
      <c r="E18" s="69"/>
      <c r="F18" s="70"/>
      <c r="G18" s="62"/>
      <c r="H18" s="72"/>
      <c r="I18" s="69"/>
      <c r="J18" s="70"/>
      <c r="K18" s="63"/>
      <c r="L18" s="72"/>
      <c r="M18" s="70"/>
      <c r="N18" s="64"/>
      <c r="O18" s="65" t="str">
        <f>IF(SUM(L18:N18)&gt;0,SUM(L18:N18),"")</f>
        <v/>
      </c>
      <c r="P18" s="36"/>
    </row>
    <row r="19" spans="2:16" ht="18" customHeight="1" x14ac:dyDescent="0.15">
      <c r="B19" s="66" t="str">
        <f>IF('P1'!D21="","",'P1'!D21)</f>
        <v>+18</v>
      </c>
      <c r="C19" s="89" t="str">
        <f>IF('P1'!G21="","",'P1'!G21)</f>
        <v>Iren Mcinnes</v>
      </c>
      <c r="D19" s="79"/>
      <c r="E19" s="79"/>
      <c r="F19" s="80"/>
      <c r="G19" s="67" t="str">
        <f>IF(MAX(D19,E19,F19)&gt;0,MAX(D19,E19,F19),"")</f>
        <v/>
      </c>
      <c r="H19" s="82"/>
      <c r="I19" s="79"/>
      <c r="J19" s="79"/>
      <c r="K19" s="68" t="str">
        <f>IF(MAX(H19,I19,J19)&gt;0,MAX(H19,I19,J19),"")</f>
        <v/>
      </c>
      <c r="L19" s="84"/>
      <c r="M19" s="80"/>
      <c r="N19" s="68" t="str">
        <f>IF(MIN(L19,M19)&gt;0,MIN(L19,M19),"")</f>
        <v/>
      </c>
      <c r="O19" s="59"/>
      <c r="P19" s="60"/>
    </row>
    <row r="20" spans="2:16" ht="18" customHeight="1" x14ac:dyDescent="0.15">
      <c r="B20" s="61"/>
      <c r="C20" s="88" t="str">
        <f>IF('P1'!G22="","",'P1'!G22)</f>
        <v>AK Bjørgvin</v>
      </c>
      <c r="D20" s="69"/>
      <c r="E20" s="69"/>
      <c r="F20" s="70"/>
      <c r="G20" s="62"/>
      <c r="H20" s="72"/>
      <c r="I20" s="69"/>
      <c r="J20" s="70"/>
      <c r="K20" s="63"/>
      <c r="L20" s="72"/>
      <c r="M20" s="70"/>
      <c r="N20" s="64"/>
      <c r="O20" s="65" t="str">
        <f>IF(SUM(L20:N20)&gt;0,SUM(L20:N20),"")</f>
        <v/>
      </c>
      <c r="P20" s="36"/>
    </row>
    <row r="21" spans="2:16" ht="18" customHeight="1" x14ac:dyDescent="0.15">
      <c r="B21" s="66" t="str">
        <f>IF('P1'!D23="","",'P1'!D23)</f>
        <v>13-14</v>
      </c>
      <c r="C21" s="89" t="str">
        <f>IF('P1'!G23="","",'P1'!G23)</f>
        <v>Oscar Bergheim</v>
      </c>
      <c r="D21" s="79"/>
      <c r="E21" s="79"/>
      <c r="F21" s="80"/>
      <c r="G21" s="67" t="str">
        <f>IF(MAX(D21,E21,F21)&gt;0,MAX(D21,E21,F21),"")</f>
        <v/>
      </c>
      <c r="H21" s="82"/>
      <c r="I21" s="79"/>
      <c r="J21" s="79"/>
      <c r="K21" s="68" t="str">
        <f>IF(MAX(H21,I21,J21)&gt;0,MAX(H21,I21,J21),"")</f>
        <v/>
      </c>
      <c r="L21" s="84"/>
      <c r="M21" s="80"/>
      <c r="N21" s="68" t="str">
        <f>IF(MIN(L21,M21)&gt;0,MIN(L21,M21),"")</f>
        <v/>
      </c>
      <c r="O21" s="59"/>
      <c r="P21" s="60"/>
    </row>
    <row r="22" spans="2:16" ht="18" customHeight="1" x14ac:dyDescent="0.15">
      <c r="B22" s="61"/>
      <c r="C22" s="88" t="str">
        <f>IF('P1'!G24="","",'P1'!G24)</f>
        <v>AK Bjørgvin</v>
      </c>
      <c r="D22" s="69"/>
      <c r="E22" s="69"/>
      <c r="F22" s="70"/>
      <c r="G22" s="71"/>
      <c r="H22" s="72"/>
      <c r="I22" s="69"/>
      <c r="J22" s="70"/>
      <c r="K22" s="73"/>
      <c r="L22" s="72"/>
      <c r="M22" s="70"/>
      <c r="N22" s="64"/>
      <c r="O22" s="65" t="str">
        <f>IF(SUM(L22:N22)&gt;0,SUM(L22:N22),"")</f>
        <v/>
      </c>
      <c r="P22" s="36"/>
    </row>
    <row r="23" spans="2:16" ht="18" customHeight="1" x14ac:dyDescent="0.15">
      <c r="B23" s="66" t="str">
        <f>IF('P1'!D25="","",'P1'!D25)</f>
        <v>15-16</v>
      </c>
      <c r="C23" s="89" t="str">
        <f>IF('P1'!G25="","",'P1'!G25)</f>
        <v>Håkon Eik Litland</v>
      </c>
      <c r="D23" s="79">
        <v>7.03</v>
      </c>
      <c r="E23" s="79">
        <v>7.18</v>
      </c>
      <c r="F23" s="80">
        <v>7.13</v>
      </c>
      <c r="G23" s="67">
        <f>IF(MAX(D23,E23,F23)&gt;0,MAX(D23,E23,F23),"")</f>
        <v>7.18</v>
      </c>
      <c r="H23" s="82">
        <v>11.7</v>
      </c>
      <c r="I23" s="79">
        <v>9.9</v>
      </c>
      <c r="J23" s="79">
        <v>11.65</v>
      </c>
      <c r="K23" s="68">
        <f>IF(MAX(H23,I23,J23)&gt;0,MAX(H23,I23,J23),"")</f>
        <v>11.7</v>
      </c>
      <c r="L23" s="84">
        <v>6.86</v>
      </c>
      <c r="M23" s="80">
        <v>6.71</v>
      </c>
      <c r="N23" s="68">
        <f>IF(MIN(L23,M23)&gt;0,MIN(L23,M23),"")</f>
        <v>6.71</v>
      </c>
      <c r="O23" s="59"/>
      <c r="P23" s="60"/>
    </row>
    <row r="24" spans="2:16" ht="18" customHeight="1" x14ac:dyDescent="0.15">
      <c r="B24" s="61"/>
      <c r="C24" s="88" t="str">
        <f>IF('P1'!G26="","",'P1'!G26)</f>
        <v>AK Bjørgvin</v>
      </c>
      <c r="D24" s="69"/>
      <c r="E24" s="69"/>
      <c r="F24" s="70"/>
      <c r="G24" s="62"/>
      <c r="H24" s="72"/>
      <c r="I24" s="69"/>
      <c r="J24" s="70"/>
      <c r="K24" s="63"/>
      <c r="L24" s="72"/>
      <c r="M24" s="70"/>
      <c r="N24" s="64"/>
      <c r="O24" s="65" t="str">
        <f>IF(SUM(L24:N24)&gt;0,SUM(L24:N24),"")</f>
        <v/>
      </c>
      <c r="P24" s="36"/>
    </row>
    <row r="25" spans="2:16" ht="18" customHeight="1" x14ac:dyDescent="0.15">
      <c r="B25" s="66" t="str">
        <f>IF('P1'!D27="","",'P1'!D27)</f>
        <v>17-18</v>
      </c>
      <c r="C25" s="89" t="str">
        <f>IF('P1'!G27="","",'P1'!G27)</f>
        <v>Hans Kristian Lorentzen</v>
      </c>
      <c r="D25" s="79">
        <v>8.35</v>
      </c>
      <c r="E25" s="79">
        <v>8.4700000000000006</v>
      </c>
      <c r="F25" s="80">
        <v>8.5500000000000007</v>
      </c>
      <c r="G25" s="67">
        <f>IF(MAX(D25,E25,F25)&gt;0,MAX(D25,E25,F25),"")</f>
        <v>8.5500000000000007</v>
      </c>
      <c r="H25" s="82">
        <v>10.7</v>
      </c>
      <c r="I25" s="79">
        <v>9.1</v>
      </c>
      <c r="J25" s="79">
        <v>8.3000000000000007</v>
      </c>
      <c r="K25" s="68">
        <f>IF(MAX(H25,I25,J25)&gt;0,MAX(H25,I25,J25),"")</f>
        <v>10.7</v>
      </c>
      <c r="L25" s="84">
        <v>6.15</v>
      </c>
      <c r="M25" s="80">
        <v>6.25</v>
      </c>
      <c r="N25" s="68">
        <f>IF(MIN(L25,M25)&gt;0,MIN(L25,M25),"")</f>
        <v>6.15</v>
      </c>
      <c r="O25" s="59"/>
      <c r="P25" s="60"/>
    </row>
    <row r="26" spans="2:16" ht="18" customHeight="1" x14ac:dyDescent="0.15">
      <c r="B26" s="61"/>
      <c r="C26" s="88" t="str">
        <f>IF('P1'!G28="","",'P1'!G28)</f>
        <v>AK Bjørgvin</v>
      </c>
      <c r="D26" s="69"/>
      <c r="E26" s="69"/>
      <c r="F26" s="70"/>
      <c r="G26" s="62"/>
      <c r="H26" s="72"/>
      <c r="I26" s="69"/>
      <c r="J26" s="70"/>
      <c r="K26" s="63"/>
      <c r="L26" s="72"/>
      <c r="M26" s="70"/>
      <c r="N26" s="64"/>
      <c r="O26" s="65" t="str">
        <f>IF(SUM(L26:N26)&gt;0,SUM(L26:N26),"")</f>
        <v/>
      </c>
      <c r="P26" s="36"/>
    </row>
    <row r="27" spans="2:16" ht="18" customHeight="1" x14ac:dyDescent="0.15">
      <c r="B27" s="66" t="str">
        <f>IF('P1'!D29="","",'P1'!D29)</f>
        <v>+18</v>
      </c>
      <c r="C27" s="89" t="str">
        <f>IF('P1'!G29="","",'P1'!G29)</f>
        <v>Øystein Sæten Hoff</v>
      </c>
      <c r="D27" s="79"/>
      <c r="E27" s="79"/>
      <c r="F27" s="80"/>
      <c r="G27" s="67" t="str">
        <f>IF(MAX(D27,E27,F27)&gt;0,MAX(D27,E27,F27),"")</f>
        <v/>
      </c>
      <c r="H27" s="82"/>
      <c r="I27" s="79"/>
      <c r="J27" s="79"/>
      <c r="K27" s="68" t="str">
        <f>IF(MAX(H27,I27,J27)&gt;0,MAX(H27,I27,J27),"")</f>
        <v/>
      </c>
      <c r="L27" s="84"/>
      <c r="M27" s="80"/>
      <c r="N27" s="68" t="str">
        <f>IF(MIN(L27,M27)&gt;0,MIN(L27,M27),"")</f>
        <v/>
      </c>
      <c r="O27" s="59"/>
      <c r="P27" s="60"/>
    </row>
    <row r="28" spans="2:16" ht="18" customHeight="1" x14ac:dyDescent="0.15">
      <c r="B28" s="61"/>
      <c r="C28" s="88" t="str">
        <f>IF('P1'!G30="","",'P1'!G30)</f>
        <v>AK Bjørgvin</v>
      </c>
      <c r="D28" s="69"/>
      <c r="E28" s="69"/>
      <c r="F28" s="70"/>
      <c r="G28" s="62"/>
      <c r="H28" s="72"/>
      <c r="I28" s="69"/>
      <c r="J28" s="70"/>
      <c r="K28" s="63"/>
      <c r="L28" s="85"/>
      <c r="M28" s="70"/>
      <c r="N28" s="64"/>
      <c r="O28" s="65" t="str">
        <f>IF(SUM(L28:N28)&gt;0,SUM(L28:N28),"")</f>
        <v/>
      </c>
      <c r="P28" s="36"/>
    </row>
    <row r="29" spans="2:16" ht="18" customHeight="1" x14ac:dyDescent="0.15">
      <c r="B29" s="66" t="str">
        <f>IF('P1'!D31="","",'P1'!D31)</f>
        <v>+18</v>
      </c>
      <c r="C29" s="89" t="str">
        <f>IF('P1'!G31="","",'P1'!G31)</f>
        <v>Petter N. Sæterdal</v>
      </c>
      <c r="D29" s="79"/>
      <c r="E29" s="79"/>
      <c r="F29" s="80"/>
      <c r="G29" s="67" t="str">
        <f>IF(MAX(D29,E29,F29)&gt;0,MAX(D29,E29,F29),"")</f>
        <v/>
      </c>
      <c r="H29" s="82"/>
      <c r="I29" s="79"/>
      <c r="J29" s="79"/>
      <c r="K29" s="68" t="str">
        <f>IF(MAX(H29,I29,J29)&gt;0,MAX(H29,I29,J29),"")</f>
        <v/>
      </c>
      <c r="L29" s="86"/>
      <c r="M29" s="80"/>
      <c r="N29" s="68" t="str">
        <f>IF(MIN(L29,M29)&gt;0,MIN(L29,M29),"")</f>
        <v/>
      </c>
      <c r="O29" s="59"/>
      <c r="P29" s="60"/>
    </row>
    <row r="30" spans="2:16" ht="18" customHeight="1" x14ac:dyDescent="0.15">
      <c r="B30" s="61"/>
      <c r="C30" s="88" t="str">
        <f>IF('P1'!G32="","",'P1'!G32)</f>
        <v>AK Bjørgvin</v>
      </c>
      <c r="D30" s="69"/>
      <c r="E30" s="69"/>
      <c r="F30" s="70"/>
      <c r="G30" s="74"/>
      <c r="H30" s="72"/>
      <c r="I30" s="69"/>
      <c r="J30" s="70"/>
      <c r="K30" s="71"/>
      <c r="L30" s="72"/>
      <c r="M30" s="70"/>
      <c r="N30" s="75"/>
      <c r="O30" s="65" t="str">
        <f>IF(SUM(L30:N30)&gt;0,SUM(L30:N30),"")</f>
        <v/>
      </c>
      <c r="P30" s="36"/>
    </row>
    <row r="31" spans="2:16" x14ac:dyDescent="0.15">
      <c r="B31" s="76"/>
      <c r="C31" s="76"/>
    </row>
  </sheetData>
  <mergeCells count="10">
    <mergeCell ref="B4:N4"/>
    <mergeCell ref="D5:G5"/>
    <mergeCell ref="H5:K5"/>
    <mergeCell ref="L5:N5"/>
    <mergeCell ref="A1:N1"/>
    <mergeCell ref="A3:B3"/>
    <mergeCell ref="C3:D3"/>
    <mergeCell ref="F3:I3"/>
    <mergeCell ref="K3:L3"/>
    <mergeCell ref="C2:G2"/>
  </mergeCells>
  <phoneticPr fontId="21" type="noConversion"/>
  <pageMargins left="0.27559055118110237" right="0.27559055118110237" top="0.27559055118110237" bottom="0.27559055118110237" header="0.51181102362204722" footer="0.51181102362204722"/>
  <pageSetup paperSize="9" fitToHeight="0" orientation="landscape" horizontalDpi="300" verticalDpi="300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/>
  <dimension ref="A1:B63"/>
  <sheetViews>
    <sheetView workbookViewId="0">
      <selection activeCell="F13" sqref="F13"/>
    </sheetView>
  </sheetViews>
  <sheetFormatPr baseColWidth="10" defaultColWidth="9.19921875" defaultRowHeight="13" x14ac:dyDescent="0.15"/>
  <cols>
    <col min="1" max="1" width="11.3984375" customWidth="1"/>
    <col min="2" max="2" width="11.59765625" style="129" customWidth="1"/>
  </cols>
  <sheetData>
    <row r="1" spans="1:2" x14ac:dyDescent="0.15">
      <c r="A1" t="s">
        <v>50</v>
      </c>
    </row>
    <row r="2" spans="1:2" x14ac:dyDescent="0.15">
      <c r="A2" t="s">
        <v>51</v>
      </c>
      <c r="B2" s="129" t="s">
        <v>9</v>
      </c>
    </row>
    <row r="3" spans="1:2" x14ac:dyDescent="0.15">
      <c r="A3">
        <v>30</v>
      </c>
      <c r="B3" s="129">
        <v>1</v>
      </c>
    </row>
    <row r="4" spans="1:2" x14ac:dyDescent="0.15">
      <c r="A4">
        <v>31</v>
      </c>
      <c r="B4" s="129">
        <v>1.016</v>
      </c>
    </row>
    <row r="5" spans="1:2" x14ac:dyDescent="0.15">
      <c r="A5">
        <v>32</v>
      </c>
      <c r="B5" s="129">
        <v>1.0309999999999999</v>
      </c>
    </row>
    <row r="6" spans="1:2" x14ac:dyDescent="0.15">
      <c r="A6">
        <v>33</v>
      </c>
      <c r="B6" s="129">
        <v>1.046</v>
      </c>
    </row>
    <row r="7" spans="1:2" x14ac:dyDescent="0.15">
      <c r="A7">
        <v>34</v>
      </c>
      <c r="B7" s="129">
        <v>1.0589999999999999</v>
      </c>
    </row>
    <row r="8" spans="1:2" x14ac:dyDescent="0.15">
      <c r="A8">
        <v>35</v>
      </c>
      <c r="B8" s="129">
        <v>1.0720000000000001</v>
      </c>
    </row>
    <row r="9" spans="1:2" x14ac:dyDescent="0.15">
      <c r="A9">
        <v>36</v>
      </c>
      <c r="B9" s="129">
        <v>1.083</v>
      </c>
    </row>
    <row r="10" spans="1:2" x14ac:dyDescent="0.15">
      <c r="A10">
        <v>37</v>
      </c>
      <c r="B10" s="129">
        <v>1.0960000000000001</v>
      </c>
    </row>
    <row r="11" spans="1:2" x14ac:dyDescent="0.15">
      <c r="A11">
        <v>38</v>
      </c>
      <c r="B11" s="129">
        <v>1.109</v>
      </c>
    </row>
    <row r="12" spans="1:2" x14ac:dyDescent="0.15">
      <c r="A12">
        <v>39</v>
      </c>
      <c r="B12" s="129">
        <v>1.1220000000000001</v>
      </c>
    </row>
    <row r="13" spans="1:2" x14ac:dyDescent="0.15">
      <c r="A13">
        <v>40</v>
      </c>
      <c r="B13" s="129">
        <v>1.135</v>
      </c>
    </row>
    <row r="14" spans="1:2" x14ac:dyDescent="0.15">
      <c r="A14">
        <v>41</v>
      </c>
      <c r="B14" s="129">
        <v>1.149</v>
      </c>
    </row>
    <row r="15" spans="1:2" x14ac:dyDescent="0.15">
      <c r="A15">
        <v>42</v>
      </c>
      <c r="B15" s="129">
        <v>1.1619999999999999</v>
      </c>
    </row>
    <row r="16" spans="1:2" x14ac:dyDescent="0.15">
      <c r="A16">
        <v>43</v>
      </c>
      <c r="B16" s="129">
        <v>1.1759999999999999</v>
      </c>
    </row>
    <row r="17" spans="1:2" x14ac:dyDescent="0.15">
      <c r="A17">
        <v>44</v>
      </c>
      <c r="B17" s="129">
        <v>1.1890000000000001</v>
      </c>
    </row>
    <row r="18" spans="1:2" x14ac:dyDescent="0.15">
      <c r="A18">
        <v>45</v>
      </c>
      <c r="B18" s="129">
        <v>1.2030000000000001</v>
      </c>
    </row>
    <row r="19" spans="1:2" x14ac:dyDescent="0.15">
      <c r="A19">
        <v>46</v>
      </c>
      <c r="B19" s="129">
        <v>1.218</v>
      </c>
    </row>
    <row r="20" spans="1:2" x14ac:dyDescent="0.15">
      <c r="A20">
        <v>47</v>
      </c>
      <c r="B20" s="129">
        <v>1.2330000000000001</v>
      </c>
    </row>
    <row r="21" spans="1:2" x14ac:dyDescent="0.15">
      <c r="A21">
        <v>48</v>
      </c>
      <c r="B21" s="129">
        <v>1.248</v>
      </c>
    </row>
    <row r="22" spans="1:2" x14ac:dyDescent="0.15">
      <c r="A22">
        <v>49</v>
      </c>
      <c r="B22" s="129">
        <v>1.2629999999999999</v>
      </c>
    </row>
    <row r="23" spans="1:2" x14ac:dyDescent="0.15">
      <c r="A23">
        <v>50</v>
      </c>
      <c r="B23" s="129">
        <v>1.2789999999999999</v>
      </c>
    </row>
    <row r="24" spans="1:2" x14ac:dyDescent="0.15">
      <c r="A24">
        <v>51</v>
      </c>
      <c r="B24" s="129">
        <v>1.2969999999999999</v>
      </c>
    </row>
    <row r="25" spans="1:2" x14ac:dyDescent="0.15">
      <c r="A25">
        <v>52</v>
      </c>
      <c r="B25" s="129">
        <v>1.3160000000000001</v>
      </c>
    </row>
    <row r="26" spans="1:2" x14ac:dyDescent="0.15">
      <c r="A26">
        <v>53</v>
      </c>
      <c r="B26" s="129">
        <v>1.3380000000000001</v>
      </c>
    </row>
    <row r="27" spans="1:2" x14ac:dyDescent="0.15">
      <c r="A27">
        <v>54</v>
      </c>
      <c r="B27" s="129">
        <v>1.361</v>
      </c>
    </row>
    <row r="28" spans="1:2" x14ac:dyDescent="0.15">
      <c r="A28">
        <v>55</v>
      </c>
      <c r="B28" s="129">
        <v>1.385</v>
      </c>
    </row>
    <row r="29" spans="1:2" x14ac:dyDescent="0.15">
      <c r="A29">
        <v>56</v>
      </c>
      <c r="B29" s="129">
        <v>1.411</v>
      </c>
    </row>
    <row r="30" spans="1:2" x14ac:dyDescent="0.15">
      <c r="A30">
        <v>57</v>
      </c>
      <c r="B30" s="129">
        <v>1.4370000000000001</v>
      </c>
    </row>
    <row r="31" spans="1:2" x14ac:dyDescent="0.15">
      <c r="A31">
        <v>58</v>
      </c>
      <c r="B31" s="129">
        <v>1.462</v>
      </c>
    </row>
    <row r="32" spans="1:2" x14ac:dyDescent="0.15">
      <c r="A32">
        <v>59</v>
      </c>
      <c r="B32" s="129">
        <v>1.488</v>
      </c>
    </row>
    <row r="33" spans="1:2" x14ac:dyDescent="0.15">
      <c r="A33">
        <v>60</v>
      </c>
      <c r="B33" s="129">
        <v>1.514</v>
      </c>
    </row>
    <row r="34" spans="1:2" x14ac:dyDescent="0.15">
      <c r="A34">
        <v>61</v>
      </c>
      <c r="B34" s="129">
        <v>1.5409999999999999</v>
      </c>
    </row>
    <row r="35" spans="1:2" x14ac:dyDescent="0.15">
      <c r="A35">
        <v>62</v>
      </c>
      <c r="B35" s="129">
        <v>1.5680000000000001</v>
      </c>
    </row>
    <row r="36" spans="1:2" x14ac:dyDescent="0.15">
      <c r="A36">
        <v>63</v>
      </c>
      <c r="B36" s="129">
        <v>1.5980000000000001</v>
      </c>
    </row>
    <row r="37" spans="1:2" x14ac:dyDescent="0.15">
      <c r="A37">
        <v>64</v>
      </c>
      <c r="B37" s="129">
        <v>1.629</v>
      </c>
    </row>
    <row r="38" spans="1:2" x14ac:dyDescent="0.15">
      <c r="A38">
        <v>65</v>
      </c>
      <c r="B38" s="129">
        <v>1.663</v>
      </c>
    </row>
    <row r="39" spans="1:2" x14ac:dyDescent="0.15">
      <c r="A39">
        <v>66</v>
      </c>
      <c r="B39" s="129">
        <v>1.6990000000000001</v>
      </c>
    </row>
    <row r="40" spans="1:2" x14ac:dyDescent="0.15">
      <c r="A40">
        <v>67</v>
      </c>
      <c r="B40" s="129">
        <v>1.738</v>
      </c>
    </row>
    <row r="41" spans="1:2" x14ac:dyDescent="0.15">
      <c r="A41">
        <v>68</v>
      </c>
      <c r="B41" s="129">
        <v>1.7789999999999999</v>
      </c>
    </row>
    <row r="42" spans="1:2" x14ac:dyDescent="0.15">
      <c r="A42">
        <v>69</v>
      </c>
      <c r="B42" s="129">
        <v>1.823</v>
      </c>
    </row>
    <row r="43" spans="1:2" x14ac:dyDescent="0.15">
      <c r="A43">
        <v>70</v>
      </c>
      <c r="B43" s="129">
        <v>1.867</v>
      </c>
    </row>
    <row r="44" spans="1:2" x14ac:dyDescent="0.15">
      <c r="A44">
        <v>71</v>
      </c>
      <c r="B44" s="129">
        <v>1.91</v>
      </c>
    </row>
    <row r="45" spans="1:2" x14ac:dyDescent="0.15">
      <c r="A45">
        <v>72</v>
      </c>
      <c r="B45" s="129">
        <v>1.9530000000000001</v>
      </c>
    </row>
    <row r="46" spans="1:2" x14ac:dyDescent="0.15">
      <c r="A46">
        <v>73</v>
      </c>
      <c r="B46" s="129">
        <v>2.004</v>
      </c>
    </row>
    <row r="47" spans="1:2" x14ac:dyDescent="0.15">
      <c r="A47">
        <v>74</v>
      </c>
      <c r="B47" s="129">
        <v>2.06</v>
      </c>
    </row>
    <row r="48" spans="1:2" x14ac:dyDescent="0.15">
      <c r="A48">
        <v>75</v>
      </c>
      <c r="B48" s="129">
        <v>2.117</v>
      </c>
    </row>
    <row r="49" spans="1:2" x14ac:dyDescent="0.15">
      <c r="A49">
        <v>76</v>
      </c>
      <c r="B49" s="129">
        <v>2.181</v>
      </c>
    </row>
    <row r="50" spans="1:2" x14ac:dyDescent="0.15">
      <c r="A50">
        <v>77</v>
      </c>
      <c r="B50" s="129">
        <v>2.2549999999999999</v>
      </c>
    </row>
    <row r="51" spans="1:2" x14ac:dyDescent="0.15">
      <c r="A51">
        <v>78</v>
      </c>
      <c r="B51" s="129">
        <v>2.3359999999999999</v>
      </c>
    </row>
    <row r="52" spans="1:2" x14ac:dyDescent="0.15">
      <c r="A52">
        <v>79</v>
      </c>
      <c r="B52" s="129">
        <v>2.419</v>
      </c>
    </row>
    <row r="53" spans="1:2" x14ac:dyDescent="0.15">
      <c r="A53">
        <v>80</v>
      </c>
      <c r="B53" s="129">
        <v>2.504</v>
      </c>
    </row>
    <row r="54" spans="1:2" x14ac:dyDescent="0.15">
      <c r="A54">
        <v>81</v>
      </c>
      <c r="B54" s="129">
        <v>2.597</v>
      </c>
    </row>
    <row r="55" spans="1:2" x14ac:dyDescent="0.15">
      <c r="A55">
        <v>82</v>
      </c>
      <c r="B55" s="129">
        <v>2.702</v>
      </c>
    </row>
    <row r="56" spans="1:2" x14ac:dyDescent="0.15">
      <c r="A56">
        <v>83</v>
      </c>
      <c r="B56" s="129">
        <v>2.831</v>
      </c>
    </row>
    <row r="57" spans="1:2" x14ac:dyDescent="0.15">
      <c r="A57">
        <v>84</v>
      </c>
      <c r="B57" s="129">
        <v>2.9809999999999999</v>
      </c>
    </row>
    <row r="58" spans="1:2" x14ac:dyDescent="0.15">
      <c r="A58">
        <v>85</v>
      </c>
      <c r="B58" s="129">
        <v>3.153</v>
      </c>
    </row>
    <row r="59" spans="1:2" x14ac:dyDescent="0.15">
      <c r="A59">
        <v>86</v>
      </c>
      <c r="B59" s="129">
        <v>3.3519999999999999</v>
      </c>
    </row>
    <row r="60" spans="1:2" x14ac:dyDescent="0.15">
      <c r="A60">
        <v>87</v>
      </c>
      <c r="B60" s="129">
        <v>3.58</v>
      </c>
    </row>
    <row r="61" spans="1:2" x14ac:dyDescent="0.15">
      <c r="A61">
        <v>88</v>
      </c>
      <c r="B61" s="129">
        <v>3.8420000000000001</v>
      </c>
    </row>
    <row r="62" spans="1:2" x14ac:dyDescent="0.15">
      <c r="A62">
        <v>89</v>
      </c>
      <c r="B62" s="129">
        <v>4.1449999999999996</v>
      </c>
    </row>
    <row r="63" spans="1:2" x14ac:dyDescent="0.15">
      <c r="A63">
        <v>90</v>
      </c>
      <c r="B63" s="129">
        <v>4.4930000000000003</v>
      </c>
    </row>
  </sheetData>
  <phoneticPr fontId="21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P1</vt:lpstr>
      <vt:lpstr>K1</vt:lpstr>
      <vt:lpstr>Meltzer-Malone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Microsoft Office-bruker</cp:lastModifiedBy>
  <cp:lastPrinted>2017-08-23T19:13:29Z</cp:lastPrinted>
  <dcterms:created xsi:type="dcterms:W3CDTF">2001-08-31T20:44:44Z</dcterms:created>
  <dcterms:modified xsi:type="dcterms:W3CDTF">2017-08-23T19:50:13Z</dcterms:modified>
</cp:coreProperties>
</file>